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公告2" sheetId="3" r:id="rId1"/>
  </sheets>
  <definedNames>
    <definedName name="_xlnm._FilterDatabase" localSheetId="0" hidden="1">公告2!$A$2:$G$845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<sst xmlns="http://schemas.openxmlformats.org/spreadsheetml/2006/main" count="1694" uniqueCount="15">
  <si>
    <t>2024年三亚市崖州区村（社区）工作者储备库公开招聘资格初审合格人员名单</t>
  </si>
  <si>
    <t>序号</t>
  </si>
  <si>
    <t>报考号</t>
  </si>
  <si>
    <t>岗位代码</t>
  </si>
  <si>
    <t>岗位名称</t>
  </si>
  <si>
    <t>招聘单位</t>
  </si>
  <si>
    <t>姓名</t>
  </si>
  <si>
    <t>性别</t>
  </si>
  <si>
    <t>储备库01（崖城片区）</t>
  </si>
  <si>
    <t>三亚市崖州区</t>
  </si>
  <si>
    <t>储备库02（保港片区）</t>
  </si>
  <si>
    <t>储备库03（梅山片区）</t>
  </si>
  <si>
    <t>储备库04（南繁片区）</t>
  </si>
  <si>
    <t>储备库05(少数民族片区）</t>
  </si>
  <si>
    <t>定向储备库06(党务工作岗)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</si>
</sst>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5"/>
  <sheetViews>
    <sheetView tabSelected="1" zoomScaleSheetLayoutView="60" workbookViewId="0">
      <selection activeCell="Q4" sqref="Q4"/>
    </sheetView>
  </sheetViews>
  <sheetFormatPr defaultColWidth="9" defaultRowHeight="30" customHeight="1" outlineLevelCol="6"/>
  <cols>
    <col min="1" max="1" width="9" style="2"/>
    <col min="2" max="2" width="13.6272727272727" style="2" customWidth="1"/>
    <col min="3" max="3" width="9" style="2"/>
    <col min="4" max="4" width="13" style="2" customWidth="1"/>
    <col min="5" max="5" width="8.62727272727273" style="2" customWidth="1"/>
    <col min="6" max="16384" width="9" style="2"/>
  </cols>
  <sheetData>
    <row r="1" ht="6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6" t="str">
        <f>"72072024112209113652310"</f>
        <v>72072024112209113652310</v>
      </c>
      <c r="C3" s="6" t="str">
        <f t="shared" ref="C3:C66" si="0">"0101"</f>
        <v>0101</v>
      </c>
      <c r="D3" s="6" t="s">
        <v>8</v>
      </c>
      <c r="E3" s="6" t="s">
        <v>9</v>
      </c>
      <c r="F3" s="6" t="str">
        <f>"罗玉景"</f>
        <v>罗玉景</v>
      </c>
      <c r="G3" s="6" t="str">
        <f t="shared" ref="G3:G6" si="1">"女"</f>
        <v>女</v>
      </c>
    </row>
    <row r="4" customHeight="1" spans="1:7">
      <c r="A4" s="6">
        <v>2</v>
      </c>
      <c r="B4" s="6" t="str">
        <f>"72072024112209292152371"</f>
        <v>72072024112209292152371</v>
      </c>
      <c r="C4" s="6" t="str">
        <f t="shared" si="0"/>
        <v>0101</v>
      </c>
      <c r="D4" s="6" t="s">
        <v>8</v>
      </c>
      <c r="E4" s="6" t="s">
        <v>9</v>
      </c>
      <c r="F4" s="6" t="str">
        <f>"王云"</f>
        <v>王云</v>
      </c>
      <c r="G4" s="6" t="str">
        <f t="shared" ref="G4:G8" si="2">"男"</f>
        <v>男</v>
      </c>
    </row>
    <row r="5" customHeight="1" spans="1:7">
      <c r="A5" s="6">
        <v>3</v>
      </c>
      <c r="B5" s="6" t="str">
        <f>"72072024112209320852387"</f>
        <v>72072024112209320852387</v>
      </c>
      <c r="C5" s="6" t="str">
        <f t="shared" si="0"/>
        <v>0101</v>
      </c>
      <c r="D5" s="6" t="s">
        <v>8</v>
      </c>
      <c r="E5" s="6" t="s">
        <v>9</v>
      </c>
      <c r="F5" s="6" t="str">
        <f>"陈开暖"</f>
        <v>陈开暖</v>
      </c>
      <c r="G5" s="6" t="str">
        <f t="shared" si="1"/>
        <v>女</v>
      </c>
    </row>
    <row r="6" customHeight="1" spans="1:7">
      <c r="A6" s="6">
        <v>4</v>
      </c>
      <c r="B6" s="6" t="str">
        <f>"72072024112209434452421"</f>
        <v>72072024112209434452421</v>
      </c>
      <c r="C6" s="6" t="str">
        <f t="shared" si="0"/>
        <v>0101</v>
      </c>
      <c r="D6" s="6" t="s">
        <v>8</v>
      </c>
      <c r="E6" s="6" t="s">
        <v>9</v>
      </c>
      <c r="F6" s="6" t="str">
        <f>"王乐"</f>
        <v>王乐</v>
      </c>
      <c r="G6" s="6" t="str">
        <f t="shared" si="1"/>
        <v>女</v>
      </c>
    </row>
    <row r="7" customHeight="1" spans="1:7">
      <c r="A7" s="6">
        <v>5</v>
      </c>
      <c r="B7" s="6" t="str">
        <f>"72072024112209270952363"</f>
        <v>72072024112209270952363</v>
      </c>
      <c r="C7" s="6" t="str">
        <f t="shared" si="0"/>
        <v>0101</v>
      </c>
      <c r="D7" s="6" t="s">
        <v>8</v>
      </c>
      <c r="E7" s="6" t="s">
        <v>9</v>
      </c>
      <c r="F7" s="6" t="str">
        <f>"张志刚"</f>
        <v>张志刚</v>
      </c>
      <c r="G7" s="6" t="str">
        <f t="shared" si="2"/>
        <v>男</v>
      </c>
    </row>
    <row r="8" customHeight="1" spans="1:7">
      <c r="A8" s="6">
        <v>6</v>
      </c>
      <c r="B8" s="6" t="str">
        <f>"72072024112211235652810"</f>
        <v>72072024112211235652810</v>
      </c>
      <c r="C8" s="6" t="str">
        <f t="shared" si="0"/>
        <v>0101</v>
      </c>
      <c r="D8" s="6" t="s">
        <v>8</v>
      </c>
      <c r="E8" s="6" t="s">
        <v>9</v>
      </c>
      <c r="F8" s="6" t="str">
        <f>"陈宗旺"</f>
        <v>陈宗旺</v>
      </c>
      <c r="G8" s="6" t="str">
        <f t="shared" si="2"/>
        <v>男</v>
      </c>
    </row>
    <row r="9" customHeight="1" spans="1:7">
      <c r="A9" s="6">
        <v>7</v>
      </c>
      <c r="B9" s="6" t="str">
        <f>"72072024112210401052664"</f>
        <v>72072024112210401052664</v>
      </c>
      <c r="C9" s="6" t="str">
        <f t="shared" si="0"/>
        <v>0101</v>
      </c>
      <c r="D9" s="6" t="s">
        <v>8</v>
      </c>
      <c r="E9" s="6" t="s">
        <v>9</v>
      </c>
      <c r="F9" s="6" t="str">
        <f>"谢仙爱"</f>
        <v>谢仙爱</v>
      </c>
      <c r="G9" s="6" t="str">
        <f t="shared" ref="G9:G15" si="3">"女"</f>
        <v>女</v>
      </c>
    </row>
    <row r="10" customHeight="1" spans="1:7">
      <c r="A10" s="6">
        <v>8</v>
      </c>
      <c r="B10" s="6" t="str">
        <f>"72072024112211152752784"</f>
        <v>72072024112211152752784</v>
      </c>
      <c r="C10" s="6" t="str">
        <f t="shared" si="0"/>
        <v>0101</v>
      </c>
      <c r="D10" s="6" t="s">
        <v>8</v>
      </c>
      <c r="E10" s="6" t="s">
        <v>9</v>
      </c>
      <c r="F10" s="6" t="str">
        <f>"陈才雄"</f>
        <v>陈才雄</v>
      </c>
      <c r="G10" s="6" t="str">
        <f t="shared" ref="G10:G12" si="4">"男"</f>
        <v>男</v>
      </c>
    </row>
    <row r="11" customHeight="1" spans="1:7">
      <c r="A11" s="6">
        <v>9</v>
      </c>
      <c r="B11" s="6" t="str">
        <f>"72072024112209582652487"</f>
        <v>72072024112209582652487</v>
      </c>
      <c r="C11" s="6" t="str">
        <f t="shared" si="0"/>
        <v>0101</v>
      </c>
      <c r="D11" s="6" t="s">
        <v>8</v>
      </c>
      <c r="E11" s="6" t="s">
        <v>9</v>
      </c>
      <c r="F11" s="6" t="str">
        <f>"容晨"</f>
        <v>容晨</v>
      </c>
      <c r="G11" s="6" t="str">
        <f t="shared" si="4"/>
        <v>男</v>
      </c>
    </row>
    <row r="12" customHeight="1" spans="1:7">
      <c r="A12" s="6">
        <v>10</v>
      </c>
      <c r="B12" s="6" t="str">
        <f>"72072024112210093052536"</f>
        <v>72072024112210093052536</v>
      </c>
      <c r="C12" s="6" t="str">
        <f t="shared" si="0"/>
        <v>0101</v>
      </c>
      <c r="D12" s="6" t="s">
        <v>8</v>
      </c>
      <c r="E12" s="6" t="s">
        <v>9</v>
      </c>
      <c r="F12" s="6" t="str">
        <f>"陈才轩"</f>
        <v>陈才轩</v>
      </c>
      <c r="G12" s="6" t="str">
        <f t="shared" si="4"/>
        <v>男</v>
      </c>
    </row>
    <row r="13" customHeight="1" spans="1:7">
      <c r="A13" s="6">
        <v>11</v>
      </c>
      <c r="B13" s="6" t="str">
        <f>"72072024112212321952968"</f>
        <v>72072024112212321952968</v>
      </c>
      <c r="C13" s="6" t="str">
        <f t="shared" si="0"/>
        <v>0101</v>
      </c>
      <c r="D13" s="6" t="s">
        <v>8</v>
      </c>
      <c r="E13" s="6" t="s">
        <v>9</v>
      </c>
      <c r="F13" s="6" t="str">
        <f>"陈婷"</f>
        <v>陈婷</v>
      </c>
      <c r="G13" s="6" t="str">
        <f t="shared" si="3"/>
        <v>女</v>
      </c>
    </row>
    <row r="14" customHeight="1" spans="1:7">
      <c r="A14" s="6">
        <v>12</v>
      </c>
      <c r="B14" s="6" t="str">
        <f>"72072024112214000853183"</f>
        <v>72072024112214000853183</v>
      </c>
      <c r="C14" s="6" t="str">
        <f t="shared" si="0"/>
        <v>0101</v>
      </c>
      <c r="D14" s="6" t="s">
        <v>8</v>
      </c>
      <c r="E14" s="6" t="s">
        <v>9</v>
      </c>
      <c r="F14" s="6" t="str">
        <f>"杨婧"</f>
        <v>杨婧</v>
      </c>
      <c r="G14" s="6" t="str">
        <f t="shared" si="3"/>
        <v>女</v>
      </c>
    </row>
    <row r="15" customHeight="1" spans="1:7">
      <c r="A15" s="6">
        <v>13</v>
      </c>
      <c r="B15" s="6" t="str">
        <f>"72072024112209004952268"</f>
        <v>72072024112209004952268</v>
      </c>
      <c r="C15" s="6" t="str">
        <f t="shared" si="0"/>
        <v>0101</v>
      </c>
      <c r="D15" s="6" t="s">
        <v>8</v>
      </c>
      <c r="E15" s="6" t="s">
        <v>9</v>
      </c>
      <c r="F15" s="6" t="str">
        <f>"田园"</f>
        <v>田园</v>
      </c>
      <c r="G15" s="6" t="str">
        <f t="shared" si="3"/>
        <v>女</v>
      </c>
    </row>
    <row r="16" customHeight="1" spans="1:7">
      <c r="A16" s="6">
        <v>14</v>
      </c>
      <c r="B16" s="6" t="str">
        <f>"72072024112213241353102"</f>
        <v>72072024112213241353102</v>
      </c>
      <c r="C16" s="6" t="str">
        <f t="shared" si="0"/>
        <v>0101</v>
      </c>
      <c r="D16" s="6" t="s">
        <v>8</v>
      </c>
      <c r="E16" s="6" t="s">
        <v>9</v>
      </c>
      <c r="F16" s="6" t="str">
        <f>"黎启思"</f>
        <v>黎启思</v>
      </c>
      <c r="G16" s="6" t="str">
        <f t="shared" ref="G16:G19" si="5">"男"</f>
        <v>男</v>
      </c>
    </row>
    <row r="17" customHeight="1" spans="1:7">
      <c r="A17" s="6">
        <v>15</v>
      </c>
      <c r="B17" s="6" t="str">
        <f>"72072024112214305053248"</f>
        <v>72072024112214305053248</v>
      </c>
      <c r="C17" s="6" t="str">
        <f t="shared" si="0"/>
        <v>0101</v>
      </c>
      <c r="D17" s="6" t="s">
        <v>8</v>
      </c>
      <c r="E17" s="6" t="s">
        <v>9</v>
      </c>
      <c r="F17" s="6" t="str">
        <f>"王天罡"</f>
        <v>王天罡</v>
      </c>
      <c r="G17" s="6" t="str">
        <f t="shared" si="5"/>
        <v>男</v>
      </c>
    </row>
    <row r="18" customHeight="1" spans="1:7">
      <c r="A18" s="6">
        <v>16</v>
      </c>
      <c r="B18" s="6" t="str">
        <f>"72072024112214351553256"</f>
        <v>72072024112214351553256</v>
      </c>
      <c r="C18" s="6" t="str">
        <f t="shared" si="0"/>
        <v>0101</v>
      </c>
      <c r="D18" s="6" t="s">
        <v>8</v>
      </c>
      <c r="E18" s="6" t="s">
        <v>9</v>
      </c>
      <c r="F18" s="6" t="str">
        <f>"王光孝"</f>
        <v>王光孝</v>
      </c>
      <c r="G18" s="6" t="str">
        <f t="shared" si="5"/>
        <v>男</v>
      </c>
    </row>
    <row r="19" customHeight="1" spans="1:7">
      <c r="A19" s="6">
        <v>17</v>
      </c>
      <c r="B19" s="6" t="str">
        <f>"72072024112214435753278"</f>
        <v>72072024112214435753278</v>
      </c>
      <c r="C19" s="6" t="str">
        <f t="shared" si="0"/>
        <v>0101</v>
      </c>
      <c r="D19" s="6" t="s">
        <v>8</v>
      </c>
      <c r="E19" s="6" t="s">
        <v>9</v>
      </c>
      <c r="F19" s="6" t="str">
        <f>"张元兴"</f>
        <v>张元兴</v>
      </c>
      <c r="G19" s="6" t="str">
        <f t="shared" si="5"/>
        <v>男</v>
      </c>
    </row>
    <row r="20" customHeight="1" spans="1:7">
      <c r="A20" s="6">
        <v>18</v>
      </c>
      <c r="B20" s="6" t="str">
        <f>"72072024112212590153037"</f>
        <v>72072024112212590153037</v>
      </c>
      <c r="C20" s="6" t="str">
        <f t="shared" si="0"/>
        <v>0101</v>
      </c>
      <c r="D20" s="6" t="s">
        <v>8</v>
      </c>
      <c r="E20" s="6" t="s">
        <v>9</v>
      </c>
      <c r="F20" s="6" t="str">
        <f>"林文莹"</f>
        <v>林文莹</v>
      </c>
      <c r="G20" s="6" t="str">
        <f t="shared" ref="G20:G24" si="6">"女"</f>
        <v>女</v>
      </c>
    </row>
    <row r="21" customHeight="1" spans="1:7">
      <c r="A21" s="6">
        <v>19</v>
      </c>
      <c r="B21" s="6" t="str">
        <f>"72072024112211494552889"</f>
        <v>72072024112211494552889</v>
      </c>
      <c r="C21" s="6" t="str">
        <f t="shared" si="0"/>
        <v>0101</v>
      </c>
      <c r="D21" s="6" t="s">
        <v>8</v>
      </c>
      <c r="E21" s="6" t="s">
        <v>9</v>
      </c>
      <c r="F21" s="6" t="str">
        <f>"罗驰"</f>
        <v>罗驰</v>
      </c>
      <c r="G21" s="6" t="str">
        <f t="shared" ref="G21:G25" si="7">"男"</f>
        <v>男</v>
      </c>
    </row>
    <row r="22" customHeight="1" spans="1:7">
      <c r="A22" s="6">
        <v>20</v>
      </c>
      <c r="B22" s="6" t="str">
        <f>"72072024112215435753481"</f>
        <v>72072024112215435753481</v>
      </c>
      <c r="C22" s="6" t="str">
        <f t="shared" si="0"/>
        <v>0101</v>
      </c>
      <c r="D22" s="6" t="s">
        <v>8</v>
      </c>
      <c r="E22" s="6" t="s">
        <v>9</v>
      </c>
      <c r="F22" s="6" t="str">
        <f>"陈启亮"</f>
        <v>陈启亮</v>
      </c>
      <c r="G22" s="6" t="str">
        <f t="shared" si="7"/>
        <v>男</v>
      </c>
    </row>
    <row r="23" customHeight="1" spans="1:7">
      <c r="A23" s="6">
        <v>21</v>
      </c>
      <c r="B23" s="6" t="str">
        <f>"72072024112210431152681"</f>
        <v>72072024112210431152681</v>
      </c>
      <c r="C23" s="6" t="str">
        <f t="shared" si="0"/>
        <v>0101</v>
      </c>
      <c r="D23" s="6" t="s">
        <v>8</v>
      </c>
      <c r="E23" s="6" t="s">
        <v>9</v>
      </c>
      <c r="F23" s="6" t="str">
        <f>"李小艳"</f>
        <v>李小艳</v>
      </c>
      <c r="G23" s="6" t="str">
        <f t="shared" si="6"/>
        <v>女</v>
      </c>
    </row>
    <row r="24" customHeight="1" spans="1:7">
      <c r="A24" s="6">
        <v>22</v>
      </c>
      <c r="B24" s="6" t="str">
        <f>"72072024112216210053633"</f>
        <v>72072024112216210053633</v>
      </c>
      <c r="C24" s="6" t="str">
        <f t="shared" si="0"/>
        <v>0101</v>
      </c>
      <c r="D24" s="6" t="s">
        <v>8</v>
      </c>
      <c r="E24" s="6" t="s">
        <v>9</v>
      </c>
      <c r="F24" s="6" t="str">
        <f>"李昕"</f>
        <v>李昕</v>
      </c>
      <c r="G24" s="6" t="str">
        <f t="shared" si="6"/>
        <v>女</v>
      </c>
    </row>
    <row r="25" customHeight="1" spans="1:7">
      <c r="A25" s="6">
        <v>23</v>
      </c>
      <c r="B25" s="6" t="str">
        <f>"72072024112216425353708"</f>
        <v>72072024112216425353708</v>
      </c>
      <c r="C25" s="6" t="str">
        <f t="shared" si="0"/>
        <v>0101</v>
      </c>
      <c r="D25" s="6" t="s">
        <v>8</v>
      </c>
      <c r="E25" s="6" t="s">
        <v>9</v>
      </c>
      <c r="F25" s="6" t="str">
        <f>"容子龙"</f>
        <v>容子龙</v>
      </c>
      <c r="G25" s="6" t="str">
        <f t="shared" si="7"/>
        <v>男</v>
      </c>
    </row>
    <row r="26" customHeight="1" spans="1:7">
      <c r="A26" s="6">
        <v>24</v>
      </c>
      <c r="B26" s="6" t="str">
        <f>"72072024112214564853321"</f>
        <v>72072024112214564853321</v>
      </c>
      <c r="C26" s="6" t="str">
        <f t="shared" si="0"/>
        <v>0101</v>
      </c>
      <c r="D26" s="6" t="s">
        <v>8</v>
      </c>
      <c r="E26" s="6" t="s">
        <v>9</v>
      </c>
      <c r="F26" s="6" t="str">
        <f>"王星星"</f>
        <v>王星星</v>
      </c>
      <c r="G26" s="6" t="str">
        <f t="shared" ref="G26:G31" si="8">"女"</f>
        <v>女</v>
      </c>
    </row>
    <row r="27" customHeight="1" spans="1:7">
      <c r="A27" s="6">
        <v>25</v>
      </c>
      <c r="B27" s="6" t="str">
        <f>"72072024112213152453080"</f>
        <v>72072024112213152453080</v>
      </c>
      <c r="C27" s="6" t="str">
        <f t="shared" si="0"/>
        <v>0101</v>
      </c>
      <c r="D27" s="6" t="s">
        <v>8</v>
      </c>
      <c r="E27" s="6" t="s">
        <v>9</v>
      </c>
      <c r="F27" s="6" t="str">
        <f>"黄家莹"</f>
        <v>黄家莹</v>
      </c>
      <c r="G27" s="6" t="str">
        <f t="shared" si="8"/>
        <v>女</v>
      </c>
    </row>
    <row r="28" customHeight="1" spans="1:7">
      <c r="A28" s="6">
        <v>26</v>
      </c>
      <c r="B28" s="6" t="str">
        <f>"72072024112211433652873"</f>
        <v>72072024112211433652873</v>
      </c>
      <c r="C28" s="6" t="str">
        <f t="shared" si="0"/>
        <v>0101</v>
      </c>
      <c r="D28" s="6" t="s">
        <v>8</v>
      </c>
      <c r="E28" s="6" t="s">
        <v>9</v>
      </c>
      <c r="F28" s="6" t="str">
        <f>"谢晓桐"</f>
        <v>谢晓桐</v>
      </c>
      <c r="G28" s="6" t="str">
        <f t="shared" si="8"/>
        <v>女</v>
      </c>
    </row>
    <row r="29" customHeight="1" spans="1:7">
      <c r="A29" s="6">
        <v>27</v>
      </c>
      <c r="B29" s="6" t="str">
        <f>"72072024112210440152683"</f>
        <v>72072024112210440152683</v>
      </c>
      <c r="C29" s="6" t="str">
        <f t="shared" si="0"/>
        <v>0101</v>
      </c>
      <c r="D29" s="6" t="s">
        <v>8</v>
      </c>
      <c r="E29" s="6" t="s">
        <v>9</v>
      </c>
      <c r="F29" s="6" t="str">
        <f>"李希真"</f>
        <v>李希真</v>
      </c>
      <c r="G29" s="6" t="str">
        <f t="shared" si="8"/>
        <v>女</v>
      </c>
    </row>
    <row r="30" customHeight="1" spans="1:7">
      <c r="A30" s="6">
        <v>28</v>
      </c>
      <c r="B30" s="6" t="str">
        <f>"72072024112209104752306"</f>
        <v>72072024112209104752306</v>
      </c>
      <c r="C30" s="6" t="str">
        <f t="shared" si="0"/>
        <v>0101</v>
      </c>
      <c r="D30" s="6" t="s">
        <v>8</v>
      </c>
      <c r="E30" s="6" t="s">
        <v>9</v>
      </c>
      <c r="F30" s="6" t="str">
        <f>"王丽炟"</f>
        <v>王丽炟</v>
      </c>
      <c r="G30" s="6" t="str">
        <f t="shared" si="8"/>
        <v>女</v>
      </c>
    </row>
    <row r="31" customHeight="1" spans="1:7">
      <c r="A31" s="6">
        <v>29</v>
      </c>
      <c r="B31" s="6" t="str">
        <f>"72072024112311423855202"</f>
        <v>72072024112311423855202</v>
      </c>
      <c r="C31" s="6" t="str">
        <f t="shared" si="0"/>
        <v>0101</v>
      </c>
      <c r="D31" s="6" t="s">
        <v>8</v>
      </c>
      <c r="E31" s="6" t="s">
        <v>9</v>
      </c>
      <c r="F31" s="6" t="str">
        <f>"容镜蓓"</f>
        <v>容镜蓓</v>
      </c>
      <c r="G31" s="6" t="str">
        <f t="shared" si="8"/>
        <v>女</v>
      </c>
    </row>
    <row r="32" customHeight="1" spans="1:7">
      <c r="A32" s="6">
        <v>30</v>
      </c>
      <c r="B32" s="6" t="str">
        <f>"72072024112312211755273"</f>
        <v>72072024112312211755273</v>
      </c>
      <c r="C32" s="6" t="str">
        <f t="shared" si="0"/>
        <v>0101</v>
      </c>
      <c r="D32" s="6" t="s">
        <v>8</v>
      </c>
      <c r="E32" s="6" t="s">
        <v>9</v>
      </c>
      <c r="F32" s="6" t="str">
        <f>"谭人忠"</f>
        <v>谭人忠</v>
      </c>
      <c r="G32" s="6" t="str">
        <f>"男"</f>
        <v>男</v>
      </c>
    </row>
    <row r="33" customHeight="1" spans="1:7">
      <c r="A33" s="6">
        <v>31</v>
      </c>
      <c r="B33" s="6" t="str">
        <f>"72072024112312410255322"</f>
        <v>72072024112312410255322</v>
      </c>
      <c r="C33" s="6" t="str">
        <f t="shared" si="0"/>
        <v>0101</v>
      </c>
      <c r="D33" s="6" t="s">
        <v>8</v>
      </c>
      <c r="E33" s="6" t="s">
        <v>9</v>
      </c>
      <c r="F33" s="6" t="str">
        <f>"李艳鑫"</f>
        <v>李艳鑫</v>
      </c>
      <c r="G33" s="6" t="str">
        <f t="shared" ref="G33:G37" si="9">"女"</f>
        <v>女</v>
      </c>
    </row>
    <row r="34" customHeight="1" spans="1:7">
      <c r="A34" s="6">
        <v>32</v>
      </c>
      <c r="B34" s="6" t="str">
        <f>"72072024112312252655286"</f>
        <v>72072024112312252655286</v>
      </c>
      <c r="C34" s="6" t="str">
        <f t="shared" si="0"/>
        <v>0101</v>
      </c>
      <c r="D34" s="6" t="s">
        <v>8</v>
      </c>
      <c r="E34" s="6" t="s">
        <v>9</v>
      </c>
      <c r="F34" s="6" t="str">
        <f>"王怡"</f>
        <v>王怡</v>
      </c>
      <c r="G34" s="6" t="str">
        <f t="shared" si="9"/>
        <v>女</v>
      </c>
    </row>
    <row r="35" customHeight="1" spans="1:7">
      <c r="A35" s="6">
        <v>33</v>
      </c>
      <c r="B35" s="6" t="str">
        <f>"72072024112315105155665"</f>
        <v>72072024112315105155665</v>
      </c>
      <c r="C35" s="6" t="str">
        <f t="shared" si="0"/>
        <v>0101</v>
      </c>
      <c r="D35" s="6" t="s">
        <v>8</v>
      </c>
      <c r="E35" s="6" t="s">
        <v>9</v>
      </c>
      <c r="F35" s="6" t="str">
        <f>"吴淑汉"</f>
        <v>吴淑汉</v>
      </c>
      <c r="G35" s="6" t="str">
        <f t="shared" ref="G35:G40" si="10">"男"</f>
        <v>男</v>
      </c>
    </row>
    <row r="36" customHeight="1" spans="1:7">
      <c r="A36" s="6">
        <v>34</v>
      </c>
      <c r="B36" s="6" t="str">
        <f>"72072024112311105855133"</f>
        <v>72072024112311105855133</v>
      </c>
      <c r="C36" s="6" t="str">
        <f t="shared" si="0"/>
        <v>0101</v>
      </c>
      <c r="D36" s="6" t="s">
        <v>8</v>
      </c>
      <c r="E36" s="6" t="s">
        <v>9</v>
      </c>
      <c r="F36" s="6" t="str">
        <f>"王雯雯"</f>
        <v>王雯雯</v>
      </c>
      <c r="G36" s="6" t="str">
        <f t="shared" si="9"/>
        <v>女</v>
      </c>
    </row>
    <row r="37" customHeight="1" spans="1:7">
      <c r="A37" s="6">
        <v>35</v>
      </c>
      <c r="B37" s="6" t="str">
        <f>"72072024112314493655614"</f>
        <v>72072024112314493655614</v>
      </c>
      <c r="C37" s="6" t="str">
        <f t="shared" si="0"/>
        <v>0101</v>
      </c>
      <c r="D37" s="6" t="s">
        <v>8</v>
      </c>
      <c r="E37" s="6" t="s">
        <v>9</v>
      </c>
      <c r="F37" s="6" t="str">
        <f>"覃茂兰"</f>
        <v>覃茂兰</v>
      </c>
      <c r="G37" s="6" t="str">
        <f t="shared" si="9"/>
        <v>女</v>
      </c>
    </row>
    <row r="38" customHeight="1" spans="1:7">
      <c r="A38" s="6">
        <v>36</v>
      </c>
      <c r="B38" s="6" t="str">
        <f>"72072024112315504455750"</f>
        <v>72072024112315504455750</v>
      </c>
      <c r="C38" s="6" t="str">
        <f t="shared" si="0"/>
        <v>0101</v>
      </c>
      <c r="D38" s="6" t="s">
        <v>8</v>
      </c>
      <c r="E38" s="6" t="s">
        <v>9</v>
      </c>
      <c r="F38" s="6" t="str">
        <f>"王杨峰"</f>
        <v>王杨峰</v>
      </c>
      <c r="G38" s="6" t="str">
        <f t="shared" si="10"/>
        <v>男</v>
      </c>
    </row>
    <row r="39" customHeight="1" spans="1:7">
      <c r="A39" s="6">
        <v>37</v>
      </c>
      <c r="B39" s="6" t="str">
        <f>"72072024112316182955824"</f>
        <v>72072024112316182955824</v>
      </c>
      <c r="C39" s="6" t="str">
        <f t="shared" si="0"/>
        <v>0101</v>
      </c>
      <c r="D39" s="6" t="s">
        <v>8</v>
      </c>
      <c r="E39" s="6" t="s">
        <v>9</v>
      </c>
      <c r="F39" s="6" t="str">
        <f>"林良伟"</f>
        <v>林良伟</v>
      </c>
      <c r="G39" s="6" t="str">
        <f t="shared" si="10"/>
        <v>男</v>
      </c>
    </row>
    <row r="40" customHeight="1" spans="1:7">
      <c r="A40" s="6">
        <v>38</v>
      </c>
      <c r="B40" s="6" t="str">
        <f>"72072024112209405952408"</f>
        <v>72072024112209405952408</v>
      </c>
      <c r="C40" s="6" t="str">
        <f t="shared" si="0"/>
        <v>0101</v>
      </c>
      <c r="D40" s="6" t="s">
        <v>8</v>
      </c>
      <c r="E40" s="6" t="s">
        <v>9</v>
      </c>
      <c r="F40" s="6" t="str">
        <f>"林璋传"</f>
        <v>林璋传</v>
      </c>
      <c r="G40" s="6" t="str">
        <f t="shared" si="10"/>
        <v>男</v>
      </c>
    </row>
    <row r="41" customHeight="1" spans="1:7">
      <c r="A41" s="6">
        <v>39</v>
      </c>
      <c r="B41" s="6" t="str">
        <f>"72072024112319000556114"</f>
        <v>72072024112319000556114</v>
      </c>
      <c r="C41" s="6" t="str">
        <f t="shared" si="0"/>
        <v>0101</v>
      </c>
      <c r="D41" s="6" t="s">
        <v>8</v>
      </c>
      <c r="E41" s="6" t="s">
        <v>9</v>
      </c>
      <c r="F41" s="6" t="str">
        <f>"毕玲玲"</f>
        <v>毕玲玲</v>
      </c>
      <c r="G41" s="6" t="str">
        <f>"女"</f>
        <v>女</v>
      </c>
    </row>
    <row r="42" customHeight="1" spans="1:7">
      <c r="A42" s="6">
        <v>40</v>
      </c>
      <c r="B42" s="6" t="str">
        <f>"72072024112316032155778"</f>
        <v>72072024112316032155778</v>
      </c>
      <c r="C42" s="6" t="str">
        <f t="shared" si="0"/>
        <v>0101</v>
      </c>
      <c r="D42" s="6" t="s">
        <v>8</v>
      </c>
      <c r="E42" s="6" t="s">
        <v>9</v>
      </c>
      <c r="F42" s="6" t="str">
        <f>"王崇鹏"</f>
        <v>王崇鹏</v>
      </c>
      <c r="G42" s="6" t="str">
        <f t="shared" ref="G42:G46" si="11">"男"</f>
        <v>男</v>
      </c>
    </row>
    <row r="43" customHeight="1" spans="1:7">
      <c r="A43" s="6">
        <v>41</v>
      </c>
      <c r="B43" s="6" t="str">
        <f>"72072024112313272455436"</f>
        <v>72072024112313272455436</v>
      </c>
      <c r="C43" s="6" t="str">
        <f t="shared" si="0"/>
        <v>0101</v>
      </c>
      <c r="D43" s="6" t="s">
        <v>8</v>
      </c>
      <c r="E43" s="6" t="s">
        <v>9</v>
      </c>
      <c r="F43" s="6" t="str">
        <f>"林明思"</f>
        <v>林明思</v>
      </c>
      <c r="G43" s="6" t="str">
        <f t="shared" si="11"/>
        <v>男</v>
      </c>
    </row>
    <row r="44" customHeight="1" spans="1:7">
      <c r="A44" s="6">
        <v>42</v>
      </c>
      <c r="B44" s="6" t="str">
        <f>"72072024112317510256006"</f>
        <v>72072024112317510256006</v>
      </c>
      <c r="C44" s="6" t="str">
        <f t="shared" si="0"/>
        <v>0101</v>
      </c>
      <c r="D44" s="6" t="s">
        <v>8</v>
      </c>
      <c r="E44" s="6" t="s">
        <v>9</v>
      </c>
      <c r="F44" s="6" t="str">
        <f>"陈琛"</f>
        <v>陈琛</v>
      </c>
      <c r="G44" s="6" t="str">
        <f t="shared" ref="G44:G50" si="12">"女"</f>
        <v>女</v>
      </c>
    </row>
    <row r="45" customHeight="1" spans="1:7">
      <c r="A45" s="6">
        <v>43</v>
      </c>
      <c r="B45" s="6" t="str">
        <f>"72072024112322003856478"</f>
        <v>72072024112322003856478</v>
      </c>
      <c r="C45" s="6" t="str">
        <f t="shared" si="0"/>
        <v>0101</v>
      </c>
      <c r="D45" s="6" t="s">
        <v>8</v>
      </c>
      <c r="E45" s="6" t="s">
        <v>9</v>
      </c>
      <c r="F45" s="6" t="str">
        <f>"宁子威"</f>
        <v>宁子威</v>
      </c>
      <c r="G45" s="6" t="str">
        <f t="shared" si="11"/>
        <v>男</v>
      </c>
    </row>
    <row r="46" customHeight="1" spans="1:7">
      <c r="A46" s="6">
        <v>44</v>
      </c>
      <c r="B46" s="6" t="str">
        <f>"72072024112313075555390"</f>
        <v>72072024112313075555390</v>
      </c>
      <c r="C46" s="6" t="str">
        <f t="shared" si="0"/>
        <v>0101</v>
      </c>
      <c r="D46" s="6" t="s">
        <v>8</v>
      </c>
      <c r="E46" s="6" t="s">
        <v>9</v>
      </c>
      <c r="F46" s="6" t="str">
        <f>"黄宗健"</f>
        <v>黄宗健</v>
      </c>
      <c r="G46" s="6" t="str">
        <f t="shared" si="11"/>
        <v>男</v>
      </c>
    </row>
    <row r="47" customHeight="1" spans="1:7">
      <c r="A47" s="6">
        <v>45</v>
      </c>
      <c r="B47" s="6" t="str">
        <f>"72072024112210334952632"</f>
        <v>72072024112210334952632</v>
      </c>
      <c r="C47" s="6" t="str">
        <f t="shared" si="0"/>
        <v>0101</v>
      </c>
      <c r="D47" s="6" t="s">
        <v>8</v>
      </c>
      <c r="E47" s="6" t="s">
        <v>9</v>
      </c>
      <c r="F47" s="6" t="str">
        <f>"周增梅"</f>
        <v>周增梅</v>
      </c>
      <c r="G47" s="6" t="str">
        <f t="shared" si="12"/>
        <v>女</v>
      </c>
    </row>
    <row r="48" customHeight="1" spans="1:7">
      <c r="A48" s="6">
        <v>46</v>
      </c>
      <c r="B48" s="6" t="str">
        <f>"72072024112218260153994"</f>
        <v>72072024112218260153994</v>
      </c>
      <c r="C48" s="6" t="str">
        <f t="shared" si="0"/>
        <v>0101</v>
      </c>
      <c r="D48" s="6" t="s">
        <v>8</v>
      </c>
      <c r="E48" s="6" t="s">
        <v>9</v>
      </c>
      <c r="F48" s="6" t="str">
        <f>"云永成"</f>
        <v>云永成</v>
      </c>
      <c r="G48" s="6" t="str">
        <f t="shared" ref="G48:G55" si="13">"男"</f>
        <v>男</v>
      </c>
    </row>
    <row r="49" customHeight="1" spans="1:7">
      <c r="A49" s="6">
        <v>47</v>
      </c>
      <c r="B49" s="6" t="str">
        <f>"72072024112318463156096"</f>
        <v>72072024112318463156096</v>
      </c>
      <c r="C49" s="6" t="str">
        <f t="shared" si="0"/>
        <v>0101</v>
      </c>
      <c r="D49" s="6" t="s">
        <v>8</v>
      </c>
      <c r="E49" s="6" t="s">
        <v>9</v>
      </c>
      <c r="F49" s="6" t="str">
        <f>"黄薇潼"</f>
        <v>黄薇潼</v>
      </c>
      <c r="G49" s="6" t="str">
        <f t="shared" si="12"/>
        <v>女</v>
      </c>
    </row>
    <row r="50" customHeight="1" spans="1:7">
      <c r="A50" s="6">
        <v>48</v>
      </c>
      <c r="B50" s="6" t="str">
        <f>"72072024112310081854991"</f>
        <v>72072024112310081854991</v>
      </c>
      <c r="C50" s="6" t="str">
        <f t="shared" si="0"/>
        <v>0101</v>
      </c>
      <c r="D50" s="6" t="s">
        <v>8</v>
      </c>
      <c r="E50" s="6" t="s">
        <v>9</v>
      </c>
      <c r="F50" s="6" t="str">
        <f>"林土清"</f>
        <v>林土清</v>
      </c>
      <c r="G50" s="6" t="str">
        <f t="shared" si="12"/>
        <v>女</v>
      </c>
    </row>
    <row r="51" customHeight="1" spans="1:7">
      <c r="A51" s="6">
        <v>49</v>
      </c>
      <c r="B51" s="6" t="str">
        <f>"72072024112221480054481"</f>
        <v>72072024112221480054481</v>
      </c>
      <c r="C51" s="6" t="str">
        <f t="shared" si="0"/>
        <v>0101</v>
      </c>
      <c r="D51" s="6" t="s">
        <v>8</v>
      </c>
      <c r="E51" s="6" t="s">
        <v>9</v>
      </c>
      <c r="F51" s="6" t="str">
        <f>"陈剑平"</f>
        <v>陈剑平</v>
      </c>
      <c r="G51" s="6" t="str">
        <f t="shared" si="13"/>
        <v>男</v>
      </c>
    </row>
    <row r="52" customHeight="1" spans="1:7">
      <c r="A52" s="6">
        <v>50</v>
      </c>
      <c r="B52" s="6" t="str">
        <f>"72072024112401331556696"</f>
        <v>72072024112401331556696</v>
      </c>
      <c r="C52" s="6" t="str">
        <f t="shared" si="0"/>
        <v>0101</v>
      </c>
      <c r="D52" s="6" t="s">
        <v>8</v>
      </c>
      <c r="E52" s="6" t="s">
        <v>9</v>
      </c>
      <c r="F52" s="6" t="str">
        <f>"苏锦霞"</f>
        <v>苏锦霞</v>
      </c>
      <c r="G52" s="6" t="str">
        <f t="shared" ref="G52:G57" si="14">"女"</f>
        <v>女</v>
      </c>
    </row>
    <row r="53" customHeight="1" spans="1:7">
      <c r="A53" s="6">
        <v>51</v>
      </c>
      <c r="B53" s="6" t="str">
        <f>"72072024112312111355246"</f>
        <v>72072024112312111355246</v>
      </c>
      <c r="C53" s="6" t="str">
        <f t="shared" si="0"/>
        <v>0101</v>
      </c>
      <c r="D53" s="6" t="s">
        <v>8</v>
      </c>
      <c r="E53" s="6" t="s">
        <v>9</v>
      </c>
      <c r="F53" s="6" t="str">
        <f>"梁维帆"</f>
        <v>梁维帆</v>
      </c>
      <c r="G53" s="6" t="str">
        <f t="shared" si="13"/>
        <v>男</v>
      </c>
    </row>
    <row r="54" customHeight="1" spans="1:7">
      <c r="A54" s="6">
        <v>52</v>
      </c>
      <c r="B54" s="6" t="str">
        <f>"72072024112314284355569"</f>
        <v>72072024112314284355569</v>
      </c>
      <c r="C54" s="6" t="str">
        <f t="shared" si="0"/>
        <v>0101</v>
      </c>
      <c r="D54" s="6" t="s">
        <v>8</v>
      </c>
      <c r="E54" s="6" t="s">
        <v>9</v>
      </c>
      <c r="F54" s="6" t="str">
        <f>"林英戟"</f>
        <v>林英戟</v>
      </c>
      <c r="G54" s="6" t="str">
        <f t="shared" si="13"/>
        <v>男</v>
      </c>
    </row>
    <row r="55" customHeight="1" spans="1:7">
      <c r="A55" s="6">
        <v>53</v>
      </c>
      <c r="B55" s="6" t="str">
        <f>"72072024112322530256572"</f>
        <v>72072024112322530256572</v>
      </c>
      <c r="C55" s="6" t="str">
        <f t="shared" si="0"/>
        <v>0101</v>
      </c>
      <c r="D55" s="6" t="s">
        <v>8</v>
      </c>
      <c r="E55" s="6" t="s">
        <v>9</v>
      </c>
      <c r="F55" s="6" t="str">
        <f>"张小蕾"</f>
        <v>张小蕾</v>
      </c>
      <c r="G55" s="6" t="str">
        <f t="shared" si="13"/>
        <v>男</v>
      </c>
    </row>
    <row r="56" customHeight="1" spans="1:7">
      <c r="A56" s="6">
        <v>54</v>
      </c>
      <c r="B56" s="6" t="str">
        <f>"72072024112209030852276"</f>
        <v>72072024112209030852276</v>
      </c>
      <c r="C56" s="6" t="str">
        <f t="shared" si="0"/>
        <v>0101</v>
      </c>
      <c r="D56" s="6" t="s">
        <v>8</v>
      </c>
      <c r="E56" s="6" t="s">
        <v>9</v>
      </c>
      <c r="F56" s="6" t="str">
        <f>"钟海惠"</f>
        <v>钟海惠</v>
      </c>
      <c r="G56" s="6" t="str">
        <f t="shared" si="14"/>
        <v>女</v>
      </c>
    </row>
    <row r="57" customHeight="1" spans="1:7">
      <c r="A57" s="6">
        <v>55</v>
      </c>
      <c r="B57" s="6" t="str">
        <f>"72072024112413032357371"</f>
        <v>72072024112413032357371</v>
      </c>
      <c r="C57" s="6" t="str">
        <f t="shared" si="0"/>
        <v>0101</v>
      </c>
      <c r="D57" s="6" t="s">
        <v>8</v>
      </c>
      <c r="E57" s="6" t="s">
        <v>9</v>
      </c>
      <c r="F57" s="6" t="str">
        <f>"薛姑美"</f>
        <v>薛姑美</v>
      </c>
      <c r="G57" s="6" t="str">
        <f t="shared" si="14"/>
        <v>女</v>
      </c>
    </row>
    <row r="58" customHeight="1" spans="1:7">
      <c r="A58" s="6">
        <v>56</v>
      </c>
      <c r="B58" s="6" t="str">
        <f>"72072024112413434257467"</f>
        <v>72072024112413434257467</v>
      </c>
      <c r="C58" s="6" t="str">
        <f t="shared" si="0"/>
        <v>0101</v>
      </c>
      <c r="D58" s="6" t="s">
        <v>8</v>
      </c>
      <c r="E58" s="6" t="s">
        <v>9</v>
      </c>
      <c r="F58" s="6" t="str">
        <f>"林贞勃"</f>
        <v>林贞勃</v>
      </c>
      <c r="G58" s="6" t="str">
        <f t="shared" ref="G58:G63" si="15">"男"</f>
        <v>男</v>
      </c>
    </row>
    <row r="59" customHeight="1" spans="1:7">
      <c r="A59" s="6">
        <v>57</v>
      </c>
      <c r="B59" s="6" t="str">
        <f>"72072024112314422155599"</f>
        <v>72072024112314422155599</v>
      </c>
      <c r="C59" s="6" t="str">
        <f t="shared" si="0"/>
        <v>0101</v>
      </c>
      <c r="D59" s="6" t="s">
        <v>8</v>
      </c>
      <c r="E59" s="6" t="s">
        <v>9</v>
      </c>
      <c r="F59" s="6" t="str">
        <f>"黎学凯"</f>
        <v>黎学凯</v>
      </c>
      <c r="G59" s="6" t="str">
        <f t="shared" si="15"/>
        <v>男</v>
      </c>
    </row>
    <row r="60" customHeight="1" spans="1:7">
      <c r="A60" s="6">
        <v>58</v>
      </c>
      <c r="B60" s="6" t="str">
        <f>"72072024112317410355985"</f>
        <v>72072024112317410355985</v>
      </c>
      <c r="C60" s="6" t="str">
        <f t="shared" si="0"/>
        <v>0101</v>
      </c>
      <c r="D60" s="6" t="s">
        <v>8</v>
      </c>
      <c r="E60" s="6" t="s">
        <v>9</v>
      </c>
      <c r="F60" s="6" t="str">
        <f>"袁佳"</f>
        <v>袁佳</v>
      </c>
      <c r="G60" s="6" t="str">
        <f t="shared" ref="G60:G62" si="16">"女"</f>
        <v>女</v>
      </c>
    </row>
    <row r="61" customHeight="1" spans="1:7">
      <c r="A61" s="6">
        <v>59</v>
      </c>
      <c r="B61" s="6" t="str">
        <f>"72072024112318461056095"</f>
        <v>72072024112318461056095</v>
      </c>
      <c r="C61" s="6" t="str">
        <f t="shared" si="0"/>
        <v>0101</v>
      </c>
      <c r="D61" s="6" t="s">
        <v>8</v>
      </c>
      <c r="E61" s="6" t="s">
        <v>9</v>
      </c>
      <c r="F61" s="6" t="str">
        <f>"张晔"</f>
        <v>张晔</v>
      </c>
      <c r="G61" s="6" t="str">
        <f t="shared" si="16"/>
        <v>女</v>
      </c>
    </row>
    <row r="62" customHeight="1" spans="1:7">
      <c r="A62" s="6">
        <v>60</v>
      </c>
      <c r="B62" s="6" t="str">
        <f>"72072024112218585054070"</f>
        <v>72072024112218585054070</v>
      </c>
      <c r="C62" s="6" t="str">
        <f t="shared" si="0"/>
        <v>0101</v>
      </c>
      <c r="D62" s="6" t="s">
        <v>8</v>
      </c>
      <c r="E62" s="6" t="s">
        <v>9</v>
      </c>
      <c r="F62" s="6" t="str">
        <f>"黄妍妍"</f>
        <v>黄妍妍</v>
      </c>
      <c r="G62" s="6" t="str">
        <f t="shared" si="16"/>
        <v>女</v>
      </c>
    </row>
    <row r="63" customHeight="1" spans="1:7">
      <c r="A63" s="6">
        <v>61</v>
      </c>
      <c r="B63" s="6" t="str">
        <f>"72072024112420454758665"</f>
        <v>72072024112420454758665</v>
      </c>
      <c r="C63" s="6" t="str">
        <f t="shared" si="0"/>
        <v>0101</v>
      </c>
      <c r="D63" s="6" t="s">
        <v>8</v>
      </c>
      <c r="E63" s="6" t="s">
        <v>9</v>
      </c>
      <c r="F63" s="6" t="str">
        <f>"陈康健"</f>
        <v>陈康健</v>
      </c>
      <c r="G63" s="6" t="str">
        <f t="shared" si="15"/>
        <v>男</v>
      </c>
    </row>
    <row r="64" customHeight="1" spans="1:7">
      <c r="A64" s="6">
        <v>62</v>
      </c>
      <c r="B64" s="6" t="str">
        <f>"72072024112320353056310"</f>
        <v>72072024112320353056310</v>
      </c>
      <c r="C64" s="6" t="str">
        <f t="shared" si="0"/>
        <v>0101</v>
      </c>
      <c r="D64" s="6" t="s">
        <v>8</v>
      </c>
      <c r="E64" s="6" t="s">
        <v>9</v>
      </c>
      <c r="F64" s="6" t="str">
        <f>"肖军玉"</f>
        <v>肖军玉</v>
      </c>
      <c r="G64" s="6" t="str">
        <f t="shared" ref="G64:G68" si="17">"女"</f>
        <v>女</v>
      </c>
    </row>
    <row r="65" customHeight="1" spans="1:7">
      <c r="A65" s="6">
        <v>63</v>
      </c>
      <c r="B65" s="6" t="str">
        <f>"72072024112407152156716"</f>
        <v>72072024112407152156716</v>
      </c>
      <c r="C65" s="6" t="str">
        <f t="shared" si="0"/>
        <v>0101</v>
      </c>
      <c r="D65" s="6" t="s">
        <v>8</v>
      </c>
      <c r="E65" s="6" t="s">
        <v>9</v>
      </c>
      <c r="F65" s="6" t="str">
        <f>"黄政"</f>
        <v>黄政</v>
      </c>
      <c r="G65" s="6" t="str">
        <f t="shared" ref="G65:G70" si="18">"男"</f>
        <v>男</v>
      </c>
    </row>
    <row r="66" customHeight="1" spans="1:7">
      <c r="A66" s="6">
        <v>64</v>
      </c>
      <c r="B66" s="6" t="str">
        <f>"72072024112420291058607"</f>
        <v>72072024112420291058607</v>
      </c>
      <c r="C66" s="6" t="str">
        <f t="shared" si="0"/>
        <v>0101</v>
      </c>
      <c r="D66" s="6" t="s">
        <v>8</v>
      </c>
      <c r="E66" s="6" t="s">
        <v>9</v>
      </c>
      <c r="F66" s="6" t="str">
        <f>"罗明月"</f>
        <v>罗明月</v>
      </c>
      <c r="G66" s="6" t="str">
        <f t="shared" si="17"/>
        <v>女</v>
      </c>
    </row>
    <row r="67" customHeight="1" spans="1:7">
      <c r="A67" s="6">
        <v>65</v>
      </c>
      <c r="B67" s="6" t="str">
        <f>"72072024112313472055476"</f>
        <v>72072024112313472055476</v>
      </c>
      <c r="C67" s="6" t="str">
        <f t="shared" ref="C67:C130" si="19">"0101"</f>
        <v>0101</v>
      </c>
      <c r="D67" s="6" t="s">
        <v>8</v>
      </c>
      <c r="E67" s="6" t="s">
        <v>9</v>
      </c>
      <c r="F67" s="6" t="str">
        <f>"吴郑"</f>
        <v>吴郑</v>
      </c>
      <c r="G67" s="6" t="str">
        <f t="shared" si="18"/>
        <v>男</v>
      </c>
    </row>
    <row r="68" customHeight="1" spans="1:7">
      <c r="A68" s="6">
        <v>66</v>
      </c>
      <c r="B68" s="6" t="str">
        <f>"72072024112423075959144"</f>
        <v>72072024112423075959144</v>
      </c>
      <c r="C68" s="6" t="str">
        <f t="shared" si="19"/>
        <v>0101</v>
      </c>
      <c r="D68" s="6" t="s">
        <v>8</v>
      </c>
      <c r="E68" s="6" t="s">
        <v>9</v>
      </c>
      <c r="F68" s="6" t="str">
        <f>"林够够"</f>
        <v>林够够</v>
      </c>
      <c r="G68" s="6" t="str">
        <f t="shared" si="17"/>
        <v>女</v>
      </c>
    </row>
    <row r="69" customHeight="1" spans="1:7">
      <c r="A69" s="6">
        <v>67</v>
      </c>
      <c r="B69" s="6" t="str">
        <f>"72072024112422481859083"</f>
        <v>72072024112422481859083</v>
      </c>
      <c r="C69" s="6" t="str">
        <f t="shared" si="19"/>
        <v>0101</v>
      </c>
      <c r="D69" s="6" t="s">
        <v>8</v>
      </c>
      <c r="E69" s="6" t="s">
        <v>9</v>
      </c>
      <c r="F69" s="6" t="str">
        <f>"王子楠"</f>
        <v>王子楠</v>
      </c>
      <c r="G69" s="6" t="str">
        <f t="shared" si="18"/>
        <v>男</v>
      </c>
    </row>
    <row r="70" customHeight="1" spans="1:7">
      <c r="A70" s="6">
        <v>68</v>
      </c>
      <c r="B70" s="6" t="str">
        <f>"72072024112209225052350"</f>
        <v>72072024112209225052350</v>
      </c>
      <c r="C70" s="6" t="str">
        <f t="shared" si="19"/>
        <v>0101</v>
      </c>
      <c r="D70" s="6" t="s">
        <v>8</v>
      </c>
      <c r="E70" s="6" t="s">
        <v>9</v>
      </c>
      <c r="F70" s="6" t="str">
        <f>"李佰绩"</f>
        <v>李佰绩</v>
      </c>
      <c r="G70" s="6" t="str">
        <f t="shared" si="18"/>
        <v>男</v>
      </c>
    </row>
    <row r="71" customHeight="1" spans="1:7">
      <c r="A71" s="6">
        <v>69</v>
      </c>
      <c r="B71" s="6" t="str">
        <f>"72072024112210151952569"</f>
        <v>72072024112210151952569</v>
      </c>
      <c r="C71" s="6" t="str">
        <f t="shared" si="19"/>
        <v>0101</v>
      </c>
      <c r="D71" s="6" t="s">
        <v>8</v>
      </c>
      <c r="E71" s="6" t="s">
        <v>9</v>
      </c>
      <c r="F71" s="6" t="str">
        <f>"陈晓莲"</f>
        <v>陈晓莲</v>
      </c>
      <c r="G71" s="6" t="str">
        <f t="shared" ref="G71:G74" si="20">"女"</f>
        <v>女</v>
      </c>
    </row>
    <row r="72" customHeight="1" spans="1:7">
      <c r="A72" s="6">
        <v>70</v>
      </c>
      <c r="B72" s="6" t="str">
        <f>"72072024112313301155440"</f>
        <v>72072024112313301155440</v>
      </c>
      <c r="C72" s="6" t="str">
        <f t="shared" si="19"/>
        <v>0101</v>
      </c>
      <c r="D72" s="6" t="s">
        <v>8</v>
      </c>
      <c r="E72" s="6" t="s">
        <v>9</v>
      </c>
      <c r="F72" s="6" t="str">
        <f>"王露"</f>
        <v>王露</v>
      </c>
      <c r="G72" s="6" t="str">
        <f t="shared" si="20"/>
        <v>女</v>
      </c>
    </row>
    <row r="73" customHeight="1" spans="1:7">
      <c r="A73" s="6">
        <v>71</v>
      </c>
      <c r="B73" s="6" t="str">
        <f>"72072024112310223655027"</f>
        <v>72072024112310223655027</v>
      </c>
      <c r="C73" s="6" t="str">
        <f t="shared" si="19"/>
        <v>0101</v>
      </c>
      <c r="D73" s="6" t="s">
        <v>8</v>
      </c>
      <c r="E73" s="6" t="s">
        <v>9</v>
      </c>
      <c r="F73" s="6" t="str">
        <f>"曾孔果"</f>
        <v>曾孔果</v>
      </c>
      <c r="G73" s="6" t="str">
        <f t="shared" si="20"/>
        <v>女</v>
      </c>
    </row>
    <row r="74" customHeight="1" spans="1:7">
      <c r="A74" s="6">
        <v>72</v>
      </c>
      <c r="B74" s="6" t="str">
        <f>"72072024112509575860691"</f>
        <v>72072024112509575860691</v>
      </c>
      <c r="C74" s="6" t="str">
        <f t="shared" si="19"/>
        <v>0101</v>
      </c>
      <c r="D74" s="6" t="s">
        <v>8</v>
      </c>
      <c r="E74" s="6" t="s">
        <v>9</v>
      </c>
      <c r="F74" s="6" t="str">
        <f>"符应丽"</f>
        <v>符应丽</v>
      </c>
      <c r="G74" s="6" t="str">
        <f t="shared" si="20"/>
        <v>女</v>
      </c>
    </row>
    <row r="75" customHeight="1" spans="1:7">
      <c r="A75" s="6">
        <v>73</v>
      </c>
      <c r="B75" s="6" t="str">
        <f>"72072024112509075759813"</f>
        <v>72072024112509075759813</v>
      </c>
      <c r="C75" s="6" t="str">
        <f t="shared" si="19"/>
        <v>0101</v>
      </c>
      <c r="D75" s="6" t="s">
        <v>8</v>
      </c>
      <c r="E75" s="6" t="s">
        <v>9</v>
      </c>
      <c r="F75" s="6" t="str">
        <f>"陈述锐"</f>
        <v>陈述锐</v>
      </c>
      <c r="G75" s="6" t="str">
        <f>"男"</f>
        <v>男</v>
      </c>
    </row>
    <row r="76" customHeight="1" spans="1:7">
      <c r="A76" s="6">
        <v>74</v>
      </c>
      <c r="B76" s="6" t="str">
        <f>"72072024112321221756410"</f>
        <v>72072024112321221756410</v>
      </c>
      <c r="C76" s="6" t="str">
        <f t="shared" si="19"/>
        <v>0101</v>
      </c>
      <c r="D76" s="6" t="s">
        <v>8</v>
      </c>
      <c r="E76" s="6" t="s">
        <v>9</v>
      </c>
      <c r="F76" s="6" t="str">
        <f>"王培健"</f>
        <v>王培健</v>
      </c>
      <c r="G76" s="6" t="str">
        <f>"男"</f>
        <v>男</v>
      </c>
    </row>
    <row r="77" customHeight="1" spans="1:7">
      <c r="A77" s="6">
        <v>75</v>
      </c>
      <c r="B77" s="6" t="str">
        <f>"72072024112509021459680"</f>
        <v>72072024112509021459680</v>
      </c>
      <c r="C77" s="6" t="str">
        <f t="shared" si="19"/>
        <v>0101</v>
      </c>
      <c r="D77" s="6" t="s">
        <v>8</v>
      </c>
      <c r="E77" s="6" t="s">
        <v>9</v>
      </c>
      <c r="F77" s="6" t="str">
        <f>"吴晓慧"</f>
        <v>吴晓慧</v>
      </c>
      <c r="G77" s="6" t="str">
        <f t="shared" ref="G77:G83" si="21">"女"</f>
        <v>女</v>
      </c>
    </row>
    <row r="78" customHeight="1" spans="1:7">
      <c r="A78" s="6">
        <v>76</v>
      </c>
      <c r="B78" s="6" t="str">
        <f>"72072024112511195661889"</f>
        <v>72072024112511195661889</v>
      </c>
      <c r="C78" s="6" t="str">
        <f t="shared" si="19"/>
        <v>0101</v>
      </c>
      <c r="D78" s="6" t="s">
        <v>8</v>
      </c>
      <c r="E78" s="6" t="s">
        <v>9</v>
      </c>
      <c r="F78" s="6" t="str">
        <f>"刘薇"</f>
        <v>刘薇</v>
      </c>
      <c r="G78" s="6" t="str">
        <f t="shared" si="21"/>
        <v>女</v>
      </c>
    </row>
    <row r="79" customHeight="1" spans="1:7">
      <c r="A79" s="6">
        <v>77</v>
      </c>
      <c r="B79" s="6" t="str">
        <f>"72072024112213225753099"</f>
        <v>72072024112213225753099</v>
      </c>
      <c r="C79" s="6" t="str">
        <f t="shared" si="19"/>
        <v>0101</v>
      </c>
      <c r="D79" s="6" t="s">
        <v>8</v>
      </c>
      <c r="E79" s="6" t="s">
        <v>9</v>
      </c>
      <c r="F79" s="6" t="str">
        <f>"容靖巧"</f>
        <v>容靖巧</v>
      </c>
      <c r="G79" s="6" t="str">
        <f t="shared" si="21"/>
        <v>女</v>
      </c>
    </row>
    <row r="80" customHeight="1" spans="1:7">
      <c r="A80" s="6">
        <v>78</v>
      </c>
      <c r="B80" s="6" t="str">
        <f>"72072024112511363162055"</f>
        <v>72072024112511363162055</v>
      </c>
      <c r="C80" s="6" t="str">
        <f t="shared" si="19"/>
        <v>0101</v>
      </c>
      <c r="D80" s="6" t="s">
        <v>8</v>
      </c>
      <c r="E80" s="6" t="s">
        <v>9</v>
      </c>
      <c r="F80" s="6" t="str">
        <f>"张哲任"</f>
        <v>张哲任</v>
      </c>
      <c r="G80" s="6" t="str">
        <f t="shared" si="21"/>
        <v>女</v>
      </c>
    </row>
    <row r="81" customHeight="1" spans="1:7">
      <c r="A81" s="6">
        <v>79</v>
      </c>
      <c r="B81" s="6" t="str">
        <f>"72072024112510214661054"</f>
        <v>72072024112510214661054</v>
      </c>
      <c r="C81" s="6" t="str">
        <f t="shared" si="19"/>
        <v>0101</v>
      </c>
      <c r="D81" s="6" t="s">
        <v>8</v>
      </c>
      <c r="E81" s="6" t="s">
        <v>9</v>
      </c>
      <c r="F81" s="6" t="str">
        <f>"史婉琳"</f>
        <v>史婉琳</v>
      </c>
      <c r="G81" s="6" t="str">
        <f t="shared" si="21"/>
        <v>女</v>
      </c>
    </row>
    <row r="82" customHeight="1" spans="1:7">
      <c r="A82" s="6">
        <v>80</v>
      </c>
      <c r="B82" s="6" t="str">
        <f>"72072024112513160562915"</f>
        <v>72072024112513160562915</v>
      </c>
      <c r="C82" s="6" t="str">
        <f t="shared" si="19"/>
        <v>0101</v>
      </c>
      <c r="D82" s="6" t="s">
        <v>8</v>
      </c>
      <c r="E82" s="6" t="s">
        <v>9</v>
      </c>
      <c r="F82" s="6" t="str">
        <f>"伍淑妍"</f>
        <v>伍淑妍</v>
      </c>
      <c r="G82" s="6" t="str">
        <f t="shared" si="21"/>
        <v>女</v>
      </c>
    </row>
    <row r="83" customHeight="1" spans="1:7">
      <c r="A83" s="6">
        <v>81</v>
      </c>
      <c r="B83" s="6" t="str">
        <f>"72072024112210274752607"</f>
        <v>72072024112210274752607</v>
      </c>
      <c r="C83" s="6" t="str">
        <f t="shared" si="19"/>
        <v>0101</v>
      </c>
      <c r="D83" s="6" t="s">
        <v>8</v>
      </c>
      <c r="E83" s="6" t="s">
        <v>9</v>
      </c>
      <c r="F83" s="6" t="str">
        <f>"张娜"</f>
        <v>张娜</v>
      </c>
      <c r="G83" s="6" t="str">
        <f t="shared" si="21"/>
        <v>女</v>
      </c>
    </row>
    <row r="84" customHeight="1" spans="1:7">
      <c r="A84" s="6">
        <v>82</v>
      </c>
      <c r="B84" s="6" t="str">
        <f>"72072024112514120463401"</f>
        <v>72072024112514120463401</v>
      </c>
      <c r="C84" s="6" t="str">
        <f t="shared" si="19"/>
        <v>0101</v>
      </c>
      <c r="D84" s="6" t="s">
        <v>8</v>
      </c>
      <c r="E84" s="6" t="s">
        <v>9</v>
      </c>
      <c r="F84" s="6" t="str">
        <f>"刘力源"</f>
        <v>刘力源</v>
      </c>
      <c r="G84" s="6" t="str">
        <f>"男"</f>
        <v>男</v>
      </c>
    </row>
    <row r="85" customHeight="1" spans="1:7">
      <c r="A85" s="6">
        <v>83</v>
      </c>
      <c r="B85" s="6" t="str">
        <f>"72072024112513060362832"</f>
        <v>72072024112513060362832</v>
      </c>
      <c r="C85" s="6" t="str">
        <f t="shared" si="19"/>
        <v>0101</v>
      </c>
      <c r="D85" s="6" t="s">
        <v>8</v>
      </c>
      <c r="E85" s="6" t="s">
        <v>9</v>
      </c>
      <c r="F85" s="6" t="str">
        <f>"周景"</f>
        <v>周景</v>
      </c>
      <c r="G85" s="6" t="str">
        <f t="shared" ref="G85:G88" si="22">"女"</f>
        <v>女</v>
      </c>
    </row>
    <row r="86" customHeight="1" spans="1:7">
      <c r="A86" s="6">
        <v>84</v>
      </c>
      <c r="B86" s="6" t="str">
        <f>"72072024112509540760642"</f>
        <v>72072024112509540760642</v>
      </c>
      <c r="C86" s="6" t="str">
        <f t="shared" si="19"/>
        <v>0101</v>
      </c>
      <c r="D86" s="6" t="s">
        <v>8</v>
      </c>
      <c r="E86" s="6" t="s">
        <v>9</v>
      </c>
      <c r="F86" s="6" t="str">
        <f>"路兆凤"</f>
        <v>路兆凤</v>
      </c>
      <c r="G86" s="6" t="str">
        <f t="shared" si="22"/>
        <v>女</v>
      </c>
    </row>
    <row r="87" customHeight="1" spans="1:7">
      <c r="A87" s="6">
        <v>85</v>
      </c>
      <c r="B87" s="6" t="str">
        <f>"72072024112510223061060"</f>
        <v>72072024112510223061060</v>
      </c>
      <c r="C87" s="6" t="str">
        <f t="shared" si="19"/>
        <v>0101</v>
      </c>
      <c r="D87" s="6" t="s">
        <v>8</v>
      </c>
      <c r="E87" s="6" t="s">
        <v>9</v>
      </c>
      <c r="F87" s="6" t="str">
        <f>"林文瑶"</f>
        <v>林文瑶</v>
      </c>
      <c r="G87" s="6" t="str">
        <f t="shared" si="22"/>
        <v>女</v>
      </c>
    </row>
    <row r="88" customHeight="1" spans="1:7">
      <c r="A88" s="6">
        <v>86</v>
      </c>
      <c r="B88" s="6" t="str">
        <f>"72072024112515114564077"</f>
        <v>72072024112515114564077</v>
      </c>
      <c r="C88" s="6" t="str">
        <f t="shared" si="19"/>
        <v>0101</v>
      </c>
      <c r="D88" s="6" t="s">
        <v>8</v>
      </c>
      <c r="E88" s="6" t="s">
        <v>9</v>
      </c>
      <c r="F88" s="6" t="str">
        <f>"刘力嘉"</f>
        <v>刘力嘉</v>
      </c>
      <c r="G88" s="6" t="str">
        <f t="shared" si="22"/>
        <v>女</v>
      </c>
    </row>
    <row r="89" customHeight="1" spans="1:7">
      <c r="A89" s="6">
        <v>87</v>
      </c>
      <c r="B89" s="6" t="str">
        <f>"72072024112310504555095"</f>
        <v>72072024112310504555095</v>
      </c>
      <c r="C89" s="6" t="str">
        <f t="shared" si="19"/>
        <v>0101</v>
      </c>
      <c r="D89" s="6" t="s">
        <v>8</v>
      </c>
      <c r="E89" s="6" t="s">
        <v>9</v>
      </c>
      <c r="F89" s="6" t="str">
        <f>"王祉健"</f>
        <v>王祉健</v>
      </c>
      <c r="G89" s="6" t="str">
        <f>"男"</f>
        <v>男</v>
      </c>
    </row>
    <row r="90" customHeight="1" spans="1:7">
      <c r="A90" s="6">
        <v>88</v>
      </c>
      <c r="B90" s="6" t="str">
        <f>"72072024112217182653835"</f>
        <v>72072024112217182653835</v>
      </c>
      <c r="C90" s="6" t="str">
        <f t="shared" si="19"/>
        <v>0101</v>
      </c>
      <c r="D90" s="6" t="s">
        <v>8</v>
      </c>
      <c r="E90" s="6" t="s">
        <v>9</v>
      </c>
      <c r="F90" s="6" t="str">
        <f>"麦璇"</f>
        <v>麦璇</v>
      </c>
      <c r="G90" s="6" t="str">
        <f t="shared" ref="G90:G94" si="23">"女"</f>
        <v>女</v>
      </c>
    </row>
    <row r="91" customHeight="1" spans="1:7">
      <c r="A91" s="6">
        <v>89</v>
      </c>
      <c r="B91" s="6" t="str">
        <f>"72072024112515085864035"</f>
        <v>72072024112515085864035</v>
      </c>
      <c r="C91" s="6" t="str">
        <f t="shared" si="19"/>
        <v>0101</v>
      </c>
      <c r="D91" s="6" t="s">
        <v>8</v>
      </c>
      <c r="E91" s="6" t="s">
        <v>9</v>
      </c>
      <c r="F91" s="6" t="str">
        <f>"黎婉婉"</f>
        <v>黎婉婉</v>
      </c>
      <c r="G91" s="6" t="str">
        <f t="shared" si="23"/>
        <v>女</v>
      </c>
    </row>
    <row r="92" customHeight="1" spans="1:7">
      <c r="A92" s="6">
        <v>90</v>
      </c>
      <c r="B92" s="6" t="str">
        <f>"72072024112516262964966"</f>
        <v>72072024112516262964966</v>
      </c>
      <c r="C92" s="6" t="str">
        <f t="shared" si="19"/>
        <v>0101</v>
      </c>
      <c r="D92" s="6" t="s">
        <v>8</v>
      </c>
      <c r="E92" s="6" t="s">
        <v>9</v>
      </c>
      <c r="F92" s="6" t="str">
        <f>"黄飘飘"</f>
        <v>黄飘飘</v>
      </c>
      <c r="G92" s="6" t="str">
        <f t="shared" si="23"/>
        <v>女</v>
      </c>
    </row>
    <row r="93" customHeight="1" spans="1:7">
      <c r="A93" s="6">
        <v>91</v>
      </c>
      <c r="B93" s="6" t="str">
        <f>"72072024112510163860986"</f>
        <v>72072024112510163860986</v>
      </c>
      <c r="C93" s="6" t="str">
        <f t="shared" si="19"/>
        <v>0101</v>
      </c>
      <c r="D93" s="6" t="s">
        <v>8</v>
      </c>
      <c r="E93" s="6" t="s">
        <v>9</v>
      </c>
      <c r="F93" s="6" t="str">
        <f>"王珊珊"</f>
        <v>王珊珊</v>
      </c>
      <c r="G93" s="6" t="str">
        <f t="shared" si="23"/>
        <v>女</v>
      </c>
    </row>
    <row r="94" customHeight="1" spans="1:7">
      <c r="A94" s="6">
        <v>92</v>
      </c>
      <c r="B94" s="6" t="str">
        <f>"72072024112516452865159"</f>
        <v>72072024112516452865159</v>
      </c>
      <c r="C94" s="6" t="str">
        <f t="shared" si="19"/>
        <v>0101</v>
      </c>
      <c r="D94" s="6" t="s">
        <v>8</v>
      </c>
      <c r="E94" s="6" t="s">
        <v>9</v>
      </c>
      <c r="F94" s="6" t="str">
        <f>"林夏莲"</f>
        <v>林夏莲</v>
      </c>
      <c r="G94" s="6" t="str">
        <f t="shared" si="23"/>
        <v>女</v>
      </c>
    </row>
    <row r="95" customHeight="1" spans="1:7">
      <c r="A95" s="6">
        <v>93</v>
      </c>
      <c r="B95" s="6" t="str">
        <f>"72072024112515073664016"</f>
        <v>72072024112515073664016</v>
      </c>
      <c r="C95" s="6" t="str">
        <f t="shared" si="19"/>
        <v>0101</v>
      </c>
      <c r="D95" s="6" t="s">
        <v>8</v>
      </c>
      <c r="E95" s="6" t="s">
        <v>9</v>
      </c>
      <c r="F95" s="6" t="str">
        <f>"王维志"</f>
        <v>王维志</v>
      </c>
      <c r="G95" s="6" t="str">
        <f t="shared" ref="G95:G97" si="24">"男"</f>
        <v>男</v>
      </c>
    </row>
    <row r="96" customHeight="1" spans="1:7">
      <c r="A96" s="6">
        <v>94</v>
      </c>
      <c r="B96" s="6" t="str">
        <f>"72072024112413484757485"</f>
        <v>72072024112413484757485</v>
      </c>
      <c r="C96" s="6" t="str">
        <f t="shared" si="19"/>
        <v>0101</v>
      </c>
      <c r="D96" s="6" t="s">
        <v>8</v>
      </c>
      <c r="E96" s="6" t="s">
        <v>9</v>
      </c>
      <c r="F96" s="6" t="str">
        <f>"卢先海"</f>
        <v>卢先海</v>
      </c>
      <c r="G96" s="6" t="str">
        <f t="shared" si="24"/>
        <v>男</v>
      </c>
    </row>
    <row r="97" customHeight="1" spans="1:7">
      <c r="A97" s="6">
        <v>95</v>
      </c>
      <c r="B97" s="6" t="str">
        <f>"72072024112515575964682"</f>
        <v>72072024112515575964682</v>
      </c>
      <c r="C97" s="6" t="str">
        <f t="shared" si="19"/>
        <v>0101</v>
      </c>
      <c r="D97" s="6" t="s">
        <v>8</v>
      </c>
      <c r="E97" s="6" t="s">
        <v>9</v>
      </c>
      <c r="F97" s="6" t="str">
        <f>"王少青"</f>
        <v>王少青</v>
      </c>
      <c r="G97" s="6" t="str">
        <f t="shared" si="24"/>
        <v>男</v>
      </c>
    </row>
    <row r="98" customHeight="1" spans="1:7">
      <c r="A98" s="6">
        <v>96</v>
      </c>
      <c r="B98" s="6" t="str">
        <f>"72072024112516040664746"</f>
        <v>72072024112516040664746</v>
      </c>
      <c r="C98" s="6" t="str">
        <f t="shared" si="19"/>
        <v>0101</v>
      </c>
      <c r="D98" s="6" t="s">
        <v>8</v>
      </c>
      <c r="E98" s="6" t="s">
        <v>9</v>
      </c>
      <c r="F98" s="6" t="str">
        <f>"谢碧庄"</f>
        <v>谢碧庄</v>
      </c>
      <c r="G98" s="6" t="str">
        <f t="shared" ref="G98:G103" si="25">"女"</f>
        <v>女</v>
      </c>
    </row>
    <row r="99" customHeight="1" spans="1:7">
      <c r="A99" s="6">
        <v>97</v>
      </c>
      <c r="B99" s="6" t="str">
        <f>"72072024112311034055119"</f>
        <v>72072024112311034055119</v>
      </c>
      <c r="C99" s="6" t="str">
        <f t="shared" si="19"/>
        <v>0101</v>
      </c>
      <c r="D99" s="6" t="s">
        <v>8</v>
      </c>
      <c r="E99" s="6" t="s">
        <v>9</v>
      </c>
      <c r="F99" s="6" t="str">
        <f>"周宸"</f>
        <v>周宸</v>
      </c>
      <c r="G99" s="6" t="str">
        <f t="shared" ref="G99:G104" si="26">"男"</f>
        <v>男</v>
      </c>
    </row>
    <row r="100" customHeight="1" spans="1:7">
      <c r="A100" s="6">
        <v>98</v>
      </c>
      <c r="B100" s="6" t="str">
        <f>"72072024112211061852754"</f>
        <v>72072024112211061852754</v>
      </c>
      <c r="C100" s="6" t="str">
        <f t="shared" si="19"/>
        <v>0101</v>
      </c>
      <c r="D100" s="6" t="s">
        <v>8</v>
      </c>
      <c r="E100" s="6" t="s">
        <v>9</v>
      </c>
      <c r="F100" s="6" t="str">
        <f>"吴莉"</f>
        <v>吴莉</v>
      </c>
      <c r="G100" s="6" t="str">
        <f t="shared" si="25"/>
        <v>女</v>
      </c>
    </row>
    <row r="101" customHeight="1" spans="1:7">
      <c r="A101" s="6">
        <v>99</v>
      </c>
      <c r="B101" s="6" t="str">
        <f>"72072024112518050965611"</f>
        <v>72072024112518050965611</v>
      </c>
      <c r="C101" s="6" t="str">
        <f t="shared" si="19"/>
        <v>0101</v>
      </c>
      <c r="D101" s="6" t="s">
        <v>8</v>
      </c>
      <c r="E101" s="6" t="s">
        <v>9</v>
      </c>
      <c r="F101" s="6" t="str">
        <f>"麦传青"</f>
        <v>麦传青</v>
      </c>
      <c r="G101" s="6" t="str">
        <f t="shared" si="26"/>
        <v>男</v>
      </c>
    </row>
    <row r="102" customHeight="1" spans="1:7">
      <c r="A102" s="6">
        <v>100</v>
      </c>
      <c r="B102" s="6" t="str">
        <f>"72072024112515184964175"</f>
        <v>72072024112515184964175</v>
      </c>
      <c r="C102" s="6" t="str">
        <f t="shared" si="19"/>
        <v>0101</v>
      </c>
      <c r="D102" s="6" t="s">
        <v>8</v>
      </c>
      <c r="E102" s="6" t="s">
        <v>9</v>
      </c>
      <c r="F102" s="6" t="str">
        <f>"林嗣珏 "</f>
        <v>林嗣珏 </v>
      </c>
      <c r="G102" s="6" t="str">
        <f t="shared" si="25"/>
        <v>女</v>
      </c>
    </row>
    <row r="103" customHeight="1" spans="1:7">
      <c r="A103" s="6">
        <v>101</v>
      </c>
      <c r="B103" s="6" t="str">
        <f>"72072024112518554665804"</f>
        <v>72072024112518554665804</v>
      </c>
      <c r="C103" s="6" t="str">
        <f t="shared" si="19"/>
        <v>0101</v>
      </c>
      <c r="D103" s="6" t="s">
        <v>8</v>
      </c>
      <c r="E103" s="6" t="s">
        <v>9</v>
      </c>
      <c r="F103" s="6" t="str">
        <f>"肖金娟"</f>
        <v>肖金娟</v>
      </c>
      <c r="G103" s="6" t="str">
        <f t="shared" si="25"/>
        <v>女</v>
      </c>
    </row>
    <row r="104" customHeight="1" spans="1:7">
      <c r="A104" s="6">
        <v>102</v>
      </c>
      <c r="B104" s="6" t="str">
        <f>"72072024112509554960663"</f>
        <v>72072024112509554960663</v>
      </c>
      <c r="C104" s="6" t="str">
        <f t="shared" si="19"/>
        <v>0101</v>
      </c>
      <c r="D104" s="6" t="s">
        <v>8</v>
      </c>
      <c r="E104" s="6" t="s">
        <v>9</v>
      </c>
      <c r="F104" s="6" t="str">
        <f>"林小沣"</f>
        <v>林小沣</v>
      </c>
      <c r="G104" s="6" t="str">
        <f t="shared" si="26"/>
        <v>男</v>
      </c>
    </row>
    <row r="105" customHeight="1" spans="1:7">
      <c r="A105" s="6">
        <v>103</v>
      </c>
      <c r="B105" s="6" t="str">
        <f>"72072024112520153166203"</f>
        <v>72072024112520153166203</v>
      </c>
      <c r="C105" s="6" t="str">
        <f t="shared" si="19"/>
        <v>0101</v>
      </c>
      <c r="D105" s="6" t="s">
        <v>8</v>
      </c>
      <c r="E105" s="6" t="s">
        <v>9</v>
      </c>
      <c r="F105" s="6" t="str">
        <f>"胡神茵"</f>
        <v>胡神茵</v>
      </c>
      <c r="G105" s="6" t="str">
        <f t="shared" ref="G105:G114" si="27">"女"</f>
        <v>女</v>
      </c>
    </row>
    <row r="106" customHeight="1" spans="1:7">
      <c r="A106" s="6">
        <v>104</v>
      </c>
      <c r="B106" s="6" t="str">
        <f>"72072024112519243665960"</f>
        <v>72072024112519243665960</v>
      </c>
      <c r="C106" s="6" t="str">
        <f t="shared" si="19"/>
        <v>0101</v>
      </c>
      <c r="D106" s="6" t="s">
        <v>8</v>
      </c>
      <c r="E106" s="6" t="s">
        <v>9</v>
      </c>
      <c r="F106" s="6" t="str">
        <f>"叶凯文"</f>
        <v>叶凯文</v>
      </c>
      <c r="G106" s="6" t="str">
        <f t="shared" ref="G106:G109" si="28">"男"</f>
        <v>男</v>
      </c>
    </row>
    <row r="107" customHeight="1" spans="1:7">
      <c r="A107" s="6">
        <v>105</v>
      </c>
      <c r="B107" s="6" t="str">
        <f>"72072024112211523152896"</f>
        <v>72072024112211523152896</v>
      </c>
      <c r="C107" s="6" t="str">
        <f t="shared" si="19"/>
        <v>0101</v>
      </c>
      <c r="D107" s="6" t="s">
        <v>8</v>
      </c>
      <c r="E107" s="6" t="s">
        <v>9</v>
      </c>
      <c r="F107" s="6" t="str">
        <f>"谢达书"</f>
        <v>谢达书</v>
      </c>
      <c r="G107" s="6" t="str">
        <f t="shared" si="28"/>
        <v>男</v>
      </c>
    </row>
    <row r="108" customHeight="1" spans="1:7">
      <c r="A108" s="6">
        <v>106</v>
      </c>
      <c r="B108" s="6" t="str">
        <f>"72072024112521004666434"</f>
        <v>72072024112521004666434</v>
      </c>
      <c r="C108" s="6" t="str">
        <f t="shared" si="19"/>
        <v>0101</v>
      </c>
      <c r="D108" s="6" t="s">
        <v>8</v>
      </c>
      <c r="E108" s="6" t="s">
        <v>9</v>
      </c>
      <c r="F108" s="6" t="str">
        <f>"陈蕾"</f>
        <v>陈蕾</v>
      </c>
      <c r="G108" s="6" t="str">
        <f t="shared" si="27"/>
        <v>女</v>
      </c>
    </row>
    <row r="109" customHeight="1" spans="1:7">
      <c r="A109" s="6">
        <v>107</v>
      </c>
      <c r="B109" s="6" t="str">
        <f>"72072024112521425066619"</f>
        <v>72072024112521425066619</v>
      </c>
      <c r="C109" s="6" t="str">
        <f t="shared" si="19"/>
        <v>0101</v>
      </c>
      <c r="D109" s="6" t="s">
        <v>8</v>
      </c>
      <c r="E109" s="6" t="s">
        <v>9</v>
      </c>
      <c r="F109" s="6" t="str">
        <f>"王靖铭"</f>
        <v>王靖铭</v>
      </c>
      <c r="G109" s="6" t="str">
        <f t="shared" si="28"/>
        <v>男</v>
      </c>
    </row>
    <row r="110" customHeight="1" spans="1:7">
      <c r="A110" s="6">
        <v>108</v>
      </c>
      <c r="B110" s="6" t="str">
        <f>"72072024112313291655438"</f>
        <v>72072024112313291655438</v>
      </c>
      <c r="C110" s="6" t="str">
        <f t="shared" si="19"/>
        <v>0101</v>
      </c>
      <c r="D110" s="6" t="s">
        <v>8</v>
      </c>
      <c r="E110" s="6" t="s">
        <v>9</v>
      </c>
      <c r="F110" s="6" t="str">
        <f>"何元俏"</f>
        <v>何元俏</v>
      </c>
      <c r="G110" s="6" t="str">
        <f t="shared" si="27"/>
        <v>女</v>
      </c>
    </row>
    <row r="111" customHeight="1" spans="1:7">
      <c r="A111" s="6">
        <v>109</v>
      </c>
      <c r="B111" s="6" t="str">
        <f>"72072024112522533866899"</f>
        <v>72072024112522533866899</v>
      </c>
      <c r="C111" s="6" t="str">
        <f t="shared" si="19"/>
        <v>0101</v>
      </c>
      <c r="D111" s="6" t="s">
        <v>8</v>
      </c>
      <c r="E111" s="6" t="s">
        <v>9</v>
      </c>
      <c r="F111" s="6" t="str">
        <f>"黄泽诗"</f>
        <v>黄泽诗</v>
      </c>
      <c r="G111" s="6" t="str">
        <f t="shared" si="27"/>
        <v>女</v>
      </c>
    </row>
    <row r="112" customHeight="1" spans="1:7">
      <c r="A112" s="6">
        <v>110</v>
      </c>
      <c r="B112" s="6" t="str">
        <f>"72072024112522572266913"</f>
        <v>72072024112522572266913</v>
      </c>
      <c r="C112" s="6" t="str">
        <f t="shared" si="19"/>
        <v>0101</v>
      </c>
      <c r="D112" s="6" t="s">
        <v>8</v>
      </c>
      <c r="E112" s="6" t="s">
        <v>9</v>
      </c>
      <c r="F112" s="6" t="str">
        <f>"陈淑惠"</f>
        <v>陈淑惠</v>
      </c>
      <c r="G112" s="6" t="str">
        <f t="shared" si="27"/>
        <v>女</v>
      </c>
    </row>
    <row r="113" customHeight="1" spans="1:7">
      <c r="A113" s="6">
        <v>111</v>
      </c>
      <c r="B113" s="6" t="str">
        <f>"72072024112219551054209"</f>
        <v>72072024112219551054209</v>
      </c>
      <c r="C113" s="6" t="str">
        <f t="shared" si="19"/>
        <v>0101</v>
      </c>
      <c r="D113" s="6" t="s">
        <v>8</v>
      </c>
      <c r="E113" s="6" t="s">
        <v>9</v>
      </c>
      <c r="F113" s="6" t="str">
        <f>"林小琴"</f>
        <v>林小琴</v>
      </c>
      <c r="G113" s="6" t="str">
        <f t="shared" si="27"/>
        <v>女</v>
      </c>
    </row>
    <row r="114" customHeight="1" spans="1:7">
      <c r="A114" s="6">
        <v>112</v>
      </c>
      <c r="B114" s="6" t="str">
        <f>"72072024112522193166771"</f>
        <v>72072024112522193166771</v>
      </c>
      <c r="C114" s="6" t="str">
        <f t="shared" si="19"/>
        <v>0101</v>
      </c>
      <c r="D114" s="6" t="s">
        <v>8</v>
      </c>
      <c r="E114" s="6" t="s">
        <v>9</v>
      </c>
      <c r="F114" s="6" t="str">
        <f>"林燕"</f>
        <v>林燕</v>
      </c>
      <c r="G114" s="6" t="str">
        <f t="shared" si="27"/>
        <v>女</v>
      </c>
    </row>
    <row r="115" customHeight="1" spans="1:7">
      <c r="A115" s="6">
        <v>113</v>
      </c>
      <c r="B115" s="6" t="str">
        <f>"72072024112519260965966"</f>
        <v>72072024112519260965966</v>
      </c>
      <c r="C115" s="6" t="str">
        <f t="shared" si="19"/>
        <v>0101</v>
      </c>
      <c r="D115" s="6" t="s">
        <v>8</v>
      </c>
      <c r="E115" s="6" t="s">
        <v>9</v>
      </c>
      <c r="F115" s="6" t="str">
        <f>"王承甲"</f>
        <v>王承甲</v>
      </c>
      <c r="G115" s="6" t="str">
        <f>"男"</f>
        <v>男</v>
      </c>
    </row>
    <row r="116" customHeight="1" spans="1:7">
      <c r="A116" s="6">
        <v>114</v>
      </c>
      <c r="B116" s="6" t="str">
        <f>"72072024112609303067937"</f>
        <v>72072024112609303067937</v>
      </c>
      <c r="C116" s="6" t="str">
        <f t="shared" si="19"/>
        <v>0101</v>
      </c>
      <c r="D116" s="6" t="s">
        <v>8</v>
      </c>
      <c r="E116" s="6" t="s">
        <v>9</v>
      </c>
      <c r="F116" s="6" t="str">
        <f>"郭志航"</f>
        <v>郭志航</v>
      </c>
      <c r="G116" s="6" t="str">
        <f>"男"</f>
        <v>男</v>
      </c>
    </row>
    <row r="117" customHeight="1" spans="1:7">
      <c r="A117" s="6">
        <v>115</v>
      </c>
      <c r="B117" s="6" t="str">
        <f>"72072024112609533268073"</f>
        <v>72072024112609533268073</v>
      </c>
      <c r="C117" s="6" t="str">
        <f t="shared" si="19"/>
        <v>0101</v>
      </c>
      <c r="D117" s="6" t="s">
        <v>8</v>
      </c>
      <c r="E117" s="6" t="s">
        <v>9</v>
      </c>
      <c r="F117" s="6" t="str">
        <f>"邱贤纯"</f>
        <v>邱贤纯</v>
      </c>
      <c r="G117" s="6" t="str">
        <f t="shared" ref="G117:G120" si="29">"女"</f>
        <v>女</v>
      </c>
    </row>
    <row r="118" customHeight="1" spans="1:7">
      <c r="A118" s="6">
        <v>116</v>
      </c>
      <c r="B118" s="6" t="str">
        <f>"72072024112610113068182"</f>
        <v>72072024112610113068182</v>
      </c>
      <c r="C118" s="6" t="str">
        <f t="shared" si="19"/>
        <v>0101</v>
      </c>
      <c r="D118" s="6" t="s">
        <v>8</v>
      </c>
      <c r="E118" s="6" t="s">
        <v>9</v>
      </c>
      <c r="F118" s="6" t="str">
        <f>"黄绮"</f>
        <v>黄绮</v>
      </c>
      <c r="G118" s="6" t="str">
        <f t="shared" si="29"/>
        <v>女</v>
      </c>
    </row>
    <row r="119" customHeight="1" spans="1:7">
      <c r="A119" s="6">
        <v>117</v>
      </c>
      <c r="B119" s="6" t="str">
        <f>"72072024112507204359363"</f>
        <v>72072024112507204359363</v>
      </c>
      <c r="C119" s="6" t="str">
        <f t="shared" si="19"/>
        <v>0101</v>
      </c>
      <c r="D119" s="6" t="s">
        <v>8</v>
      </c>
      <c r="E119" s="6" t="s">
        <v>9</v>
      </c>
      <c r="F119" s="6" t="str">
        <f>"裴敏"</f>
        <v>裴敏</v>
      </c>
      <c r="G119" s="6" t="str">
        <f t="shared" si="29"/>
        <v>女</v>
      </c>
    </row>
    <row r="120" customHeight="1" spans="1:7">
      <c r="A120" s="6">
        <v>118</v>
      </c>
      <c r="B120" s="6" t="str">
        <f>"72072024112519390366035"</f>
        <v>72072024112519390366035</v>
      </c>
      <c r="C120" s="6" t="str">
        <f t="shared" si="19"/>
        <v>0101</v>
      </c>
      <c r="D120" s="6" t="s">
        <v>8</v>
      </c>
      <c r="E120" s="6" t="s">
        <v>9</v>
      </c>
      <c r="F120" s="6" t="str">
        <f>"符月贞"</f>
        <v>符月贞</v>
      </c>
      <c r="G120" s="6" t="str">
        <f t="shared" si="29"/>
        <v>女</v>
      </c>
    </row>
    <row r="121" customHeight="1" spans="1:7">
      <c r="A121" s="6">
        <v>119</v>
      </c>
      <c r="B121" s="6" t="str">
        <f>"72072024112610471968417"</f>
        <v>72072024112610471968417</v>
      </c>
      <c r="C121" s="6" t="str">
        <f t="shared" si="19"/>
        <v>0101</v>
      </c>
      <c r="D121" s="6" t="s">
        <v>8</v>
      </c>
      <c r="E121" s="6" t="s">
        <v>9</v>
      </c>
      <c r="F121" s="6" t="str">
        <f>"潘孝军"</f>
        <v>潘孝军</v>
      </c>
      <c r="G121" s="6" t="str">
        <f>"男"</f>
        <v>男</v>
      </c>
    </row>
    <row r="122" customHeight="1" spans="1:7">
      <c r="A122" s="6">
        <v>120</v>
      </c>
      <c r="B122" s="6" t="str">
        <f>"72072024112512131962367"</f>
        <v>72072024112512131962367</v>
      </c>
      <c r="C122" s="6" t="str">
        <f t="shared" si="19"/>
        <v>0101</v>
      </c>
      <c r="D122" s="6" t="s">
        <v>8</v>
      </c>
      <c r="E122" s="6" t="s">
        <v>9</v>
      </c>
      <c r="F122" s="6" t="str">
        <f>"邢小庭"</f>
        <v>邢小庭</v>
      </c>
      <c r="G122" s="6" t="str">
        <f t="shared" ref="G122:G128" si="30">"女"</f>
        <v>女</v>
      </c>
    </row>
    <row r="123" customHeight="1" spans="1:7">
      <c r="A123" s="6">
        <v>121</v>
      </c>
      <c r="B123" s="6" t="str">
        <f>"72072024112611584668773"</f>
        <v>72072024112611584668773</v>
      </c>
      <c r="C123" s="6" t="str">
        <f t="shared" si="19"/>
        <v>0101</v>
      </c>
      <c r="D123" s="6" t="s">
        <v>8</v>
      </c>
      <c r="E123" s="6" t="s">
        <v>9</v>
      </c>
      <c r="F123" s="6" t="str">
        <f>"邓海玉"</f>
        <v>邓海玉</v>
      </c>
      <c r="G123" s="6" t="str">
        <f t="shared" si="30"/>
        <v>女</v>
      </c>
    </row>
    <row r="124" customHeight="1" spans="1:7">
      <c r="A124" s="6">
        <v>122</v>
      </c>
      <c r="B124" s="6" t="str">
        <f>"72072024112320322756303"</f>
        <v>72072024112320322756303</v>
      </c>
      <c r="C124" s="6" t="str">
        <f t="shared" si="19"/>
        <v>0101</v>
      </c>
      <c r="D124" s="6" t="s">
        <v>8</v>
      </c>
      <c r="E124" s="6" t="s">
        <v>9</v>
      </c>
      <c r="F124" s="6" t="str">
        <f>"刘德琴"</f>
        <v>刘德琴</v>
      </c>
      <c r="G124" s="6" t="str">
        <f t="shared" si="30"/>
        <v>女</v>
      </c>
    </row>
    <row r="125" customHeight="1" spans="1:7">
      <c r="A125" s="6">
        <v>123</v>
      </c>
      <c r="B125" s="6" t="str">
        <f>"72072024112613142169065"</f>
        <v>72072024112613142169065</v>
      </c>
      <c r="C125" s="6" t="str">
        <f t="shared" si="19"/>
        <v>0101</v>
      </c>
      <c r="D125" s="6" t="s">
        <v>8</v>
      </c>
      <c r="E125" s="6" t="s">
        <v>9</v>
      </c>
      <c r="F125" s="6" t="str">
        <f>"庄最后"</f>
        <v>庄最后</v>
      </c>
      <c r="G125" s="6" t="str">
        <f t="shared" si="30"/>
        <v>女</v>
      </c>
    </row>
    <row r="126" customHeight="1" spans="1:7">
      <c r="A126" s="6">
        <v>124</v>
      </c>
      <c r="B126" s="6" t="str">
        <f>"72072024112610120168184"</f>
        <v>72072024112610120168184</v>
      </c>
      <c r="C126" s="6" t="str">
        <f t="shared" si="19"/>
        <v>0101</v>
      </c>
      <c r="D126" s="6" t="s">
        <v>8</v>
      </c>
      <c r="E126" s="6" t="s">
        <v>9</v>
      </c>
      <c r="F126" s="6" t="str">
        <f>"庞斯斯"</f>
        <v>庞斯斯</v>
      </c>
      <c r="G126" s="6" t="str">
        <f t="shared" si="30"/>
        <v>女</v>
      </c>
    </row>
    <row r="127" customHeight="1" spans="1:7">
      <c r="A127" s="6">
        <v>125</v>
      </c>
      <c r="B127" s="6" t="str">
        <f>"72072024112521031566440"</f>
        <v>72072024112521031566440</v>
      </c>
      <c r="C127" s="6" t="str">
        <f t="shared" si="19"/>
        <v>0101</v>
      </c>
      <c r="D127" s="6" t="s">
        <v>8</v>
      </c>
      <c r="E127" s="6" t="s">
        <v>9</v>
      </c>
      <c r="F127" s="6" t="str">
        <f>"胡宁芝"</f>
        <v>胡宁芝</v>
      </c>
      <c r="G127" s="6" t="str">
        <f t="shared" si="30"/>
        <v>女</v>
      </c>
    </row>
    <row r="128" customHeight="1" spans="1:7">
      <c r="A128" s="6">
        <v>126</v>
      </c>
      <c r="B128" s="6" t="str">
        <f>"72072024112223243754644"</f>
        <v>72072024112223243754644</v>
      </c>
      <c r="C128" s="6" t="str">
        <f t="shared" si="19"/>
        <v>0101</v>
      </c>
      <c r="D128" s="6" t="s">
        <v>8</v>
      </c>
      <c r="E128" s="6" t="s">
        <v>9</v>
      </c>
      <c r="F128" s="6" t="str">
        <f>"黄丽萍"</f>
        <v>黄丽萍</v>
      </c>
      <c r="G128" s="6" t="str">
        <f t="shared" si="30"/>
        <v>女</v>
      </c>
    </row>
    <row r="129" customHeight="1" spans="1:7">
      <c r="A129" s="6">
        <v>127</v>
      </c>
      <c r="B129" s="6" t="str">
        <f>"72072024112614073869248"</f>
        <v>72072024112614073869248</v>
      </c>
      <c r="C129" s="6" t="str">
        <f t="shared" si="19"/>
        <v>0101</v>
      </c>
      <c r="D129" s="6" t="s">
        <v>8</v>
      </c>
      <c r="E129" s="6" t="s">
        <v>9</v>
      </c>
      <c r="F129" s="6" t="str">
        <f>"刘建新"</f>
        <v>刘建新</v>
      </c>
      <c r="G129" s="6" t="str">
        <f t="shared" ref="G129:G134" si="31">"男"</f>
        <v>男</v>
      </c>
    </row>
    <row r="130" customHeight="1" spans="1:7">
      <c r="A130" s="6">
        <v>128</v>
      </c>
      <c r="B130" s="6" t="str">
        <f>"72072024112515364364420"</f>
        <v>72072024112515364364420</v>
      </c>
      <c r="C130" s="6" t="str">
        <f t="shared" si="19"/>
        <v>0101</v>
      </c>
      <c r="D130" s="6" t="s">
        <v>8</v>
      </c>
      <c r="E130" s="6" t="s">
        <v>9</v>
      </c>
      <c r="F130" s="6" t="str">
        <f>"梁文龙"</f>
        <v>梁文龙</v>
      </c>
      <c r="G130" s="6" t="str">
        <f t="shared" si="31"/>
        <v>男</v>
      </c>
    </row>
    <row r="131" customHeight="1" spans="1:7">
      <c r="A131" s="6">
        <v>129</v>
      </c>
      <c r="B131" s="6" t="str">
        <f>"72072024112615341669692"</f>
        <v>72072024112615341669692</v>
      </c>
      <c r="C131" s="6" t="str">
        <f t="shared" ref="C131:C194" si="32">"0101"</f>
        <v>0101</v>
      </c>
      <c r="D131" s="6" t="s">
        <v>8</v>
      </c>
      <c r="E131" s="6" t="s">
        <v>9</v>
      </c>
      <c r="F131" s="6" t="str">
        <f>"黎瑞雨"</f>
        <v>黎瑞雨</v>
      </c>
      <c r="G131" s="6" t="str">
        <f t="shared" ref="G131:G133" si="33">"女"</f>
        <v>女</v>
      </c>
    </row>
    <row r="132" customHeight="1" spans="1:7">
      <c r="A132" s="6">
        <v>130</v>
      </c>
      <c r="B132" s="6" t="str">
        <f>"72072024112512262662471"</f>
        <v>72072024112512262662471</v>
      </c>
      <c r="C132" s="6" t="str">
        <f t="shared" si="32"/>
        <v>0101</v>
      </c>
      <c r="D132" s="6" t="s">
        <v>8</v>
      </c>
      <c r="E132" s="6" t="s">
        <v>9</v>
      </c>
      <c r="F132" s="6" t="str">
        <f>"李琴思"</f>
        <v>李琴思</v>
      </c>
      <c r="G132" s="6" t="str">
        <f t="shared" si="33"/>
        <v>女</v>
      </c>
    </row>
    <row r="133" customHeight="1" spans="1:7">
      <c r="A133" s="6">
        <v>131</v>
      </c>
      <c r="B133" s="6" t="str">
        <f>"72072024112611254768638"</f>
        <v>72072024112611254768638</v>
      </c>
      <c r="C133" s="6" t="str">
        <f t="shared" si="32"/>
        <v>0101</v>
      </c>
      <c r="D133" s="6" t="s">
        <v>8</v>
      </c>
      <c r="E133" s="6" t="s">
        <v>9</v>
      </c>
      <c r="F133" s="6" t="str">
        <f>"麦贤妃"</f>
        <v>麦贤妃</v>
      </c>
      <c r="G133" s="6" t="str">
        <f t="shared" si="33"/>
        <v>女</v>
      </c>
    </row>
    <row r="134" customHeight="1" spans="1:7">
      <c r="A134" s="6">
        <v>132</v>
      </c>
      <c r="B134" s="6" t="str">
        <f>"72072024112413173957401"</f>
        <v>72072024112413173957401</v>
      </c>
      <c r="C134" s="6" t="str">
        <f t="shared" si="32"/>
        <v>0101</v>
      </c>
      <c r="D134" s="6" t="s">
        <v>8</v>
      </c>
      <c r="E134" s="6" t="s">
        <v>9</v>
      </c>
      <c r="F134" s="6" t="str">
        <f>"林苦林"</f>
        <v>林苦林</v>
      </c>
      <c r="G134" s="6" t="str">
        <f t="shared" si="31"/>
        <v>男</v>
      </c>
    </row>
    <row r="135" customHeight="1" spans="1:7">
      <c r="A135" s="6">
        <v>133</v>
      </c>
      <c r="B135" s="6" t="str">
        <f>"72072024112612530268986"</f>
        <v>72072024112612530268986</v>
      </c>
      <c r="C135" s="6" t="str">
        <f t="shared" si="32"/>
        <v>0101</v>
      </c>
      <c r="D135" s="6" t="s">
        <v>8</v>
      </c>
      <c r="E135" s="6" t="s">
        <v>9</v>
      </c>
      <c r="F135" s="6" t="str">
        <f>"云天佳"</f>
        <v>云天佳</v>
      </c>
      <c r="G135" s="6" t="str">
        <f t="shared" ref="G135:G141" si="34">"女"</f>
        <v>女</v>
      </c>
    </row>
    <row r="136" customHeight="1" spans="1:7">
      <c r="A136" s="6">
        <v>134</v>
      </c>
      <c r="B136" s="6" t="str">
        <f>"72072024112618384870434"</f>
        <v>72072024112618384870434</v>
      </c>
      <c r="C136" s="6" t="str">
        <f t="shared" si="32"/>
        <v>0101</v>
      </c>
      <c r="D136" s="6" t="s">
        <v>8</v>
      </c>
      <c r="E136" s="6" t="s">
        <v>9</v>
      </c>
      <c r="F136" s="6" t="str">
        <f>"陈玮"</f>
        <v>陈玮</v>
      </c>
      <c r="G136" s="6" t="str">
        <f t="shared" si="34"/>
        <v>女</v>
      </c>
    </row>
    <row r="137" customHeight="1" spans="1:7">
      <c r="A137" s="6">
        <v>135</v>
      </c>
      <c r="B137" s="6" t="str">
        <f>"72072024112511021861654"</f>
        <v>72072024112511021861654</v>
      </c>
      <c r="C137" s="6" t="str">
        <f t="shared" si="32"/>
        <v>0101</v>
      </c>
      <c r="D137" s="6" t="s">
        <v>8</v>
      </c>
      <c r="E137" s="6" t="s">
        <v>9</v>
      </c>
      <c r="F137" s="6" t="str">
        <f>"徐文博"</f>
        <v>徐文博</v>
      </c>
      <c r="G137" s="6" t="str">
        <f>"男"</f>
        <v>男</v>
      </c>
    </row>
    <row r="138" customHeight="1" spans="1:7">
      <c r="A138" s="6">
        <v>136</v>
      </c>
      <c r="B138" s="6" t="str">
        <f>"72072024112620250070792"</f>
        <v>72072024112620250070792</v>
      </c>
      <c r="C138" s="6" t="str">
        <f t="shared" si="32"/>
        <v>0101</v>
      </c>
      <c r="D138" s="6" t="s">
        <v>8</v>
      </c>
      <c r="E138" s="6" t="s">
        <v>9</v>
      </c>
      <c r="F138" s="6" t="str">
        <f>"郑玉环"</f>
        <v>郑玉环</v>
      </c>
      <c r="G138" s="6" t="str">
        <f t="shared" si="34"/>
        <v>女</v>
      </c>
    </row>
    <row r="139" customHeight="1" spans="1:7">
      <c r="A139" s="6">
        <v>137</v>
      </c>
      <c r="B139" s="6" t="str">
        <f>"72072024112620190670769"</f>
        <v>72072024112620190670769</v>
      </c>
      <c r="C139" s="6" t="str">
        <f t="shared" si="32"/>
        <v>0101</v>
      </c>
      <c r="D139" s="6" t="s">
        <v>8</v>
      </c>
      <c r="E139" s="6" t="s">
        <v>9</v>
      </c>
      <c r="F139" s="6" t="str">
        <f>"周怡萱"</f>
        <v>周怡萱</v>
      </c>
      <c r="G139" s="6" t="str">
        <f t="shared" si="34"/>
        <v>女</v>
      </c>
    </row>
    <row r="140" customHeight="1" spans="1:7">
      <c r="A140" s="6">
        <v>138</v>
      </c>
      <c r="B140" s="6" t="str">
        <f>"72072024112620470170874"</f>
        <v>72072024112620470170874</v>
      </c>
      <c r="C140" s="6" t="str">
        <f t="shared" si="32"/>
        <v>0101</v>
      </c>
      <c r="D140" s="6" t="s">
        <v>8</v>
      </c>
      <c r="E140" s="6" t="s">
        <v>9</v>
      </c>
      <c r="F140" s="6" t="str">
        <f>"容静雯"</f>
        <v>容静雯</v>
      </c>
      <c r="G140" s="6" t="str">
        <f t="shared" si="34"/>
        <v>女</v>
      </c>
    </row>
    <row r="141" customHeight="1" spans="1:7">
      <c r="A141" s="6">
        <v>139</v>
      </c>
      <c r="B141" s="6" t="str">
        <f>"72072024112414340857615"</f>
        <v>72072024112414340857615</v>
      </c>
      <c r="C141" s="6" t="str">
        <f t="shared" si="32"/>
        <v>0101</v>
      </c>
      <c r="D141" s="6" t="s">
        <v>8</v>
      </c>
      <c r="E141" s="6" t="s">
        <v>9</v>
      </c>
      <c r="F141" s="6" t="str">
        <f>"黎姑凤"</f>
        <v>黎姑凤</v>
      </c>
      <c r="G141" s="6" t="str">
        <f t="shared" si="34"/>
        <v>女</v>
      </c>
    </row>
    <row r="142" customHeight="1" spans="1:7">
      <c r="A142" s="6">
        <v>140</v>
      </c>
      <c r="B142" s="6" t="str">
        <f>"72072024112618453870457"</f>
        <v>72072024112618453870457</v>
      </c>
      <c r="C142" s="6" t="str">
        <f t="shared" si="32"/>
        <v>0101</v>
      </c>
      <c r="D142" s="6" t="s">
        <v>8</v>
      </c>
      <c r="E142" s="6" t="s">
        <v>9</v>
      </c>
      <c r="F142" s="6" t="str">
        <f>"严龙"</f>
        <v>严龙</v>
      </c>
      <c r="G142" s="6" t="str">
        <f t="shared" ref="G142:G146" si="35">"男"</f>
        <v>男</v>
      </c>
    </row>
    <row r="143" customHeight="1" spans="1:7">
      <c r="A143" s="6">
        <v>141</v>
      </c>
      <c r="B143" s="6" t="str">
        <f>"72072024112622183071173"</f>
        <v>72072024112622183071173</v>
      </c>
      <c r="C143" s="6" t="str">
        <f t="shared" si="32"/>
        <v>0101</v>
      </c>
      <c r="D143" s="6" t="s">
        <v>8</v>
      </c>
      <c r="E143" s="6" t="s">
        <v>9</v>
      </c>
      <c r="F143" s="6" t="str">
        <f>"关珊"</f>
        <v>关珊</v>
      </c>
      <c r="G143" s="6" t="str">
        <f t="shared" ref="G143:G147" si="36">"女"</f>
        <v>女</v>
      </c>
    </row>
    <row r="144" customHeight="1" spans="1:7">
      <c r="A144" s="6">
        <v>142</v>
      </c>
      <c r="B144" s="6" t="str">
        <f>"72072024112622114871150"</f>
        <v>72072024112622114871150</v>
      </c>
      <c r="C144" s="6" t="str">
        <f t="shared" si="32"/>
        <v>0101</v>
      </c>
      <c r="D144" s="6" t="s">
        <v>8</v>
      </c>
      <c r="E144" s="6" t="s">
        <v>9</v>
      </c>
      <c r="F144" s="6" t="str">
        <f>"裴威林"</f>
        <v>裴威林</v>
      </c>
      <c r="G144" s="6" t="str">
        <f t="shared" si="35"/>
        <v>男</v>
      </c>
    </row>
    <row r="145" customHeight="1" spans="1:7">
      <c r="A145" s="6">
        <v>143</v>
      </c>
      <c r="B145" s="6" t="str">
        <f>"72072024112623012071270"</f>
        <v>72072024112623012071270</v>
      </c>
      <c r="C145" s="6" t="str">
        <f t="shared" si="32"/>
        <v>0101</v>
      </c>
      <c r="D145" s="6" t="s">
        <v>8</v>
      </c>
      <c r="E145" s="6" t="s">
        <v>9</v>
      </c>
      <c r="F145" s="6" t="str">
        <f>"郑辉怡"</f>
        <v>郑辉怡</v>
      </c>
      <c r="G145" s="6" t="str">
        <f t="shared" si="36"/>
        <v>女</v>
      </c>
    </row>
    <row r="146" customHeight="1" spans="1:7">
      <c r="A146" s="6">
        <v>144</v>
      </c>
      <c r="B146" s="6" t="str">
        <f>"72072024112623005471269"</f>
        <v>72072024112623005471269</v>
      </c>
      <c r="C146" s="6" t="str">
        <f t="shared" si="32"/>
        <v>0101</v>
      </c>
      <c r="D146" s="6" t="s">
        <v>8</v>
      </c>
      <c r="E146" s="6" t="s">
        <v>9</v>
      </c>
      <c r="F146" s="6" t="str">
        <f>"羊琼麟"</f>
        <v>羊琼麟</v>
      </c>
      <c r="G146" s="6" t="str">
        <f t="shared" si="35"/>
        <v>男</v>
      </c>
    </row>
    <row r="147" customHeight="1" spans="1:7">
      <c r="A147" s="6">
        <v>145</v>
      </c>
      <c r="B147" s="6" t="str">
        <f>"72072024112510343061243"</f>
        <v>72072024112510343061243</v>
      </c>
      <c r="C147" s="6" t="str">
        <f t="shared" si="32"/>
        <v>0101</v>
      </c>
      <c r="D147" s="6" t="s">
        <v>8</v>
      </c>
      <c r="E147" s="6" t="s">
        <v>9</v>
      </c>
      <c r="F147" s="6" t="str">
        <f>"拉尖卓玛"</f>
        <v>拉尖卓玛</v>
      </c>
      <c r="G147" s="6" t="str">
        <f t="shared" si="36"/>
        <v>女</v>
      </c>
    </row>
    <row r="148" customHeight="1" spans="1:7">
      <c r="A148" s="6">
        <v>146</v>
      </c>
      <c r="B148" s="6" t="str">
        <f>"72072024112609203567867"</f>
        <v>72072024112609203567867</v>
      </c>
      <c r="C148" s="6" t="str">
        <f t="shared" si="32"/>
        <v>0101</v>
      </c>
      <c r="D148" s="6" t="s">
        <v>8</v>
      </c>
      <c r="E148" s="6" t="s">
        <v>9</v>
      </c>
      <c r="F148" s="6" t="str">
        <f>"陈泰宁"</f>
        <v>陈泰宁</v>
      </c>
      <c r="G148" s="6" t="str">
        <f t="shared" ref="G148:G153" si="37">"男"</f>
        <v>男</v>
      </c>
    </row>
    <row r="149" customHeight="1" spans="1:7">
      <c r="A149" s="6">
        <v>147</v>
      </c>
      <c r="B149" s="6" t="str">
        <f>"72072024112622321371198"</f>
        <v>72072024112622321371198</v>
      </c>
      <c r="C149" s="6" t="str">
        <f t="shared" si="32"/>
        <v>0101</v>
      </c>
      <c r="D149" s="6" t="s">
        <v>8</v>
      </c>
      <c r="E149" s="6" t="s">
        <v>9</v>
      </c>
      <c r="F149" s="6" t="str">
        <f>"符晏铭"</f>
        <v>符晏铭</v>
      </c>
      <c r="G149" s="6" t="str">
        <f t="shared" si="37"/>
        <v>男</v>
      </c>
    </row>
    <row r="150" customHeight="1" spans="1:7">
      <c r="A150" s="6">
        <v>148</v>
      </c>
      <c r="B150" s="6" t="str">
        <f>"72072024112523341066991"</f>
        <v>72072024112523341066991</v>
      </c>
      <c r="C150" s="6" t="str">
        <f t="shared" si="32"/>
        <v>0101</v>
      </c>
      <c r="D150" s="6" t="s">
        <v>8</v>
      </c>
      <c r="E150" s="6" t="s">
        <v>9</v>
      </c>
      <c r="F150" s="6" t="str">
        <f>"蒲林燕"</f>
        <v>蒲林燕</v>
      </c>
      <c r="G150" s="6" t="str">
        <f t="shared" ref="G150:G152" si="38">"女"</f>
        <v>女</v>
      </c>
    </row>
    <row r="151" customHeight="1" spans="1:7">
      <c r="A151" s="6">
        <v>149</v>
      </c>
      <c r="B151" s="6" t="str">
        <f>"72072024112509190960019"</f>
        <v>72072024112509190960019</v>
      </c>
      <c r="C151" s="6" t="str">
        <f t="shared" si="32"/>
        <v>0101</v>
      </c>
      <c r="D151" s="6" t="s">
        <v>8</v>
      </c>
      <c r="E151" s="6" t="s">
        <v>9</v>
      </c>
      <c r="F151" s="6" t="str">
        <f>"黎光月"</f>
        <v>黎光月</v>
      </c>
      <c r="G151" s="6" t="str">
        <f t="shared" si="38"/>
        <v>女</v>
      </c>
    </row>
    <row r="152" customHeight="1" spans="1:7">
      <c r="A152" s="6">
        <v>150</v>
      </c>
      <c r="B152" s="6" t="str">
        <f>"72072024112615123869568"</f>
        <v>72072024112615123869568</v>
      </c>
      <c r="C152" s="6" t="str">
        <f t="shared" si="32"/>
        <v>0101</v>
      </c>
      <c r="D152" s="6" t="s">
        <v>8</v>
      </c>
      <c r="E152" s="6" t="s">
        <v>9</v>
      </c>
      <c r="F152" s="6" t="str">
        <f>"林欣欣"</f>
        <v>林欣欣</v>
      </c>
      <c r="G152" s="6" t="str">
        <f t="shared" si="38"/>
        <v>女</v>
      </c>
    </row>
    <row r="153" customHeight="1" spans="1:7">
      <c r="A153" s="6">
        <v>151</v>
      </c>
      <c r="B153" s="6" t="str">
        <f>"72072024112710050072035"</f>
        <v>72072024112710050072035</v>
      </c>
      <c r="C153" s="6" t="str">
        <f t="shared" si="32"/>
        <v>0101</v>
      </c>
      <c r="D153" s="6" t="s">
        <v>8</v>
      </c>
      <c r="E153" s="6" t="s">
        <v>9</v>
      </c>
      <c r="F153" s="6" t="str">
        <f>"陈栎达"</f>
        <v>陈栎达</v>
      </c>
      <c r="G153" s="6" t="str">
        <f t="shared" si="37"/>
        <v>男</v>
      </c>
    </row>
    <row r="154" customHeight="1" spans="1:7">
      <c r="A154" s="6">
        <v>152</v>
      </c>
      <c r="B154" s="6" t="str">
        <f>"72072024112611413068706"</f>
        <v>72072024112611413068706</v>
      </c>
      <c r="C154" s="6" t="str">
        <f t="shared" si="32"/>
        <v>0101</v>
      </c>
      <c r="D154" s="6" t="s">
        <v>8</v>
      </c>
      <c r="E154" s="6" t="s">
        <v>9</v>
      </c>
      <c r="F154" s="6" t="str">
        <f>"廖尚果"</f>
        <v>廖尚果</v>
      </c>
      <c r="G154" s="6" t="str">
        <f t="shared" ref="G154:G158" si="39">"女"</f>
        <v>女</v>
      </c>
    </row>
    <row r="155" customHeight="1" spans="1:7">
      <c r="A155" s="6">
        <v>153</v>
      </c>
      <c r="B155" s="6" t="str">
        <f>"72072024112512261362466"</f>
        <v>72072024112512261362466</v>
      </c>
      <c r="C155" s="6" t="str">
        <f t="shared" si="32"/>
        <v>0101</v>
      </c>
      <c r="D155" s="6" t="s">
        <v>8</v>
      </c>
      <c r="E155" s="6" t="s">
        <v>9</v>
      </c>
      <c r="F155" s="6" t="str">
        <f>"赖家铭"</f>
        <v>赖家铭</v>
      </c>
      <c r="G155" s="6" t="str">
        <f>"男"</f>
        <v>男</v>
      </c>
    </row>
    <row r="156" customHeight="1" spans="1:7">
      <c r="A156" s="6">
        <v>154</v>
      </c>
      <c r="B156" s="6" t="str">
        <f>"72072024112711325672519"</f>
        <v>72072024112711325672519</v>
      </c>
      <c r="C156" s="6" t="str">
        <f t="shared" si="32"/>
        <v>0101</v>
      </c>
      <c r="D156" s="6" t="s">
        <v>8</v>
      </c>
      <c r="E156" s="6" t="s">
        <v>9</v>
      </c>
      <c r="F156" s="6" t="str">
        <f>"冯莹莹"</f>
        <v>冯莹莹</v>
      </c>
      <c r="G156" s="6" t="str">
        <f t="shared" si="39"/>
        <v>女</v>
      </c>
    </row>
    <row r="157" customHeight="1" spans="1:7">
      <c r="A157" s="6">
        <v>155</v>
      </c>
      <c r="B157" s="6" t="str">
        <f>"72072024112710545072327"</f>
        <v>72072024112710545072327</v>
      </c>
      <c r="C157" s="6" t="str">
        <f t="shared" si="32"/>
        <v>0101</v>
      </c>
      <c r="D157" s="6" t="s">
        <v>8</v>
      </c>
      <c r="E157" s="6" t="s">
        <v>9</v>
      </c>
      <c r="F157" s="6" t="str">
        <f>"陈名婷"</f>
        <v>陈名婷</v>
      </c>
      <c r="G157" s="6" t="str">
        <f t="shared" si="39"/>
        <v>女</v>
      </c>
    </row>
    <row r="158" customHeight="1" spans="1:7">
      <c r="A158" s="6">
        <v>156</v>
      </c>
      <c r="B158" s="6" t="str">
        <f>"72072024112711540672610"</f>
        <v>72072024112711540672610</v>
      </c>
      <c r="C158" s="6" t="str">
        <f t="shared" si="32"/>
        <v>0101</v>
      </c>
      <c r="D158" s="6" t="s">
        <v>8</v>
      </c>
      <c r="E158" s="6" t="s">
        <v>9</v>
      </c>
      <c r="F158" s="6" t="str">
        <f>"赵灵芝"</f>
        <v>赵灵芝</v>
      </c>
      <c r="G158" s="6" t="str">
        <f t="shared" si="39"/>
        <v>女</v>
      </c>
    </row>
    <row r="159" customHeight="1" spans="1:7">
      <c r="A159" s="6">
        <v>157</v>
      </c>
      <c r="B159" s="6" t="str">
        <f>"72072024112712232372692"</f>
        <v>72072024112712232372692</v>
      </c>
      <c r="C159" s="6" t="str">
        <f t="shared" si="32"/>
        <v>0101</v>
      </c>
      <c r="D159" s="6" t="s">
        <v>8</v>
      </c>
      <c r="E159" s="6" t="s">
        <v>9</v>
      </c>
      <c r="F159" s="6" t="str">
        <f>"郑远岛"</f>
        <v>郑远岛</v>
      </c>
      <c r="G159" s="6" t="str">
        <f>"男"</f>
        <v>男</v>
      </c>
    </row>
    <row r="160" customHeight="1" spans="1:7">
      <c r="A160" s="6">
        <v>158</v>
      </c>
      <c r="B160" s="6" t="str">
        <f>"72072024112611482168733"</f>
        <v>72072024112611482168733</v>
      </c>
      <c r="C160" s="6" t="str">
        <f t="shared" si="32"/>
        <v>0101</v>
      </c>
      <c r="D160" s="6" t="s">
        <v>8</v>
      </c>
      <c r="E160" s="6" t="s">
        <v>9</v>
      </c>
      <c r="F160" s="6" t="str">
        <f>"麦贤艳"</f>
        <v>麦贤艳</v>
      </c>
      <c r="G160" s="6" t="str">
        <f t="shared" ref="G160:G165" si="40">"女"</f>
        <v>女</v>
      </c>
    </row>
    <row r="161" customHeight="1" spans="1:7">
      <c r="A161" s="6">
        <v>159</v>
      </c>
      <c r="B161" s="6" t="str">
        <f>"72072024112408453756764"</f>
        <v>72072024112408453756764</v>
      </c>
      <c r="C161" s="6" t="str">
        <f t="shared" si="32"/>
        <v>0101</v>
      </c>
      <c r="D161" s="6" t="s">
        <v>8</v>
      </c>
      <c r="E161" s="6" t="s">
        <v>9</v>
      </c>
      <c r="F161" s="6" t="str">
        <f>"邢维秋"</f>
        <v>邢维秋</v>
      </c>
      <c r="G161" s="6" t="str">
        <f t="shared" si="40"/>
        <v>女</v>
      </c>
    </row>
    <row r="162" customHeight="1" spans="1:7">
      <c r="A162" s="6">
        <v>160</v>
      </c>
      <c r="B162" s="6" t="str">
        <f>"72072024112619443870663"</f>
        <v>72072024112619443870663</v>
      </c>
      <c r="C162" s="6" t="str">
        <f t="shared" si="32"/>
        <v>0101</v>
      </c>
      <c r="D162" s="6" t="s">
        <v>8</v>
      </c>
      <c r="E162" s="6" t="s">
        <v>9</v>
      </c>
      <c r="F162" s="6" t="str">
        <f>"董清培"</f>
        <v>董清培</v>
      </c>
      <c r="G162" s="6" t="str">
        <f>"男"</f>
        <v>男</v>
      </c>
    </row>
    <row r="163" customHeight="1" spans="1:7">
      <c r="A163" s="6">
        <v>161</v>
      </c>
      <c r="B163" s="6" t="str">
        <f>"72072024112715550173558"</f>
        <v>72072024112715550173558</v>
      </c>
      <c r="C163" s="6" t="str">
        <f t="shared" si="32"/>
        <v>0101</v>
      </c>
      <c r="D163" s="6" t="s">
        <v>8</v>
      </c>
      <c r="E163" s="6" t="s">
        <v>9</v>
      </c>
      <c r="F163" s="6" t="str">
        <f>"陈会蓝"</f>
        <v>陈会蓝</v>
      </c>
      <c r="G163" s="6" t="str">
        <f t="shared" si="40"/>
        <v>女</v>
      </c>
    </row>
    <row r="164" customHeight="1" spans="1:7">
      <c r="A164" s="6">
        <v>162</v>
      </c>
      <c r="B164" s="6" t="str">
        <f>"72072024112621525471094"</f>
        <v>72072024112621525471094</v>
      </c>
      <c r="C164" s="6" t="str">
        <f t="shared" si="32"/>
        <v>0101</v>
      </c>
      <c r="D164" s="6" t="s">
        <v>8</v>
      </c>
      <c r="E164" s="6" t="s">
        <v>9</v>
      </c>
      <c r="F164" s="6" t="str">
        <f>"梁敏"</f>
        <v>梁敏</v>
      </c>
      <c r="G164" s="6" t="str">
        <f t="shared" si="40"/>
        <v>女</v>
      </c>
    </row>
    <row r="165" customHeight="1" spans="1:7">
      <c r="A165" s="6">
        <v>163</v>
      </c>
      <c r="B165" s="6" t="str">
        <f>"72072024112715152073339"</f>
        <v>72072024112715152073339</v>
      </c>
      <c r="C165" s="6" t="str">
        <f t="shared" si="32"/>
        <v>0101</v>
      </c>
      <c r="D165" s="6" t="s">
        <v>8</v>
      </c>
      <c r="E165" s="6" t="s">
        <v>9</v>
      </c>
      <c r="F165" s="6" t="str">
        <f>"游宇霆"</f>
        <v>游宇霆</v>
      </c>
      <c r="G165" s="6" t="str">
        <f t="shared" si="40"/>
        <v>女</v>
      </c>
    </row>
    <row r="166" customHeight="1" spans="1:7">
      <c r="A166" s="6">
        <v>164</v>
      </c>
      <c r="B166" s="6" t="str">
        <f>"72072024112713131272855"</f>
        <v>72072024112713131272855</v>
      </c>
      <c r="C166" s="6" t="str">
        <f t="shared" si="32"/>
        <v>0101</v>
      </c>
      <c r="D166" s="6" t="s">
        <v>8</v>
      </c>
      <c r="E166" s="6" t="s">
        <v>9</v>
      </c>
      <c r="F166" s="6" t="str">
        <f>"朱思华"</f>
        <v>朱思华</v>
      </c>
      <c r="G166" s="6" t="str">
        <f t="shared" ref="G166:G171" si="41">"男"</f>
        <v>男</v>
      </c>
    </row>
    <row r="167" customHeight="1" spans="1:7">
      <c r="A167" s="6">
        <v>165</v>
      </c>
      <c r="B167" s="6" t="str">
        <f>"72072024112711222172478"</f>
        <v>72072024112711222172478</v>
      </c>
      <c r="C167" s="6" t="str">
        <f t="shared" si="32"/>
        <v>0101</v>
      </c>
      <c r="D167" s="6" t="s">
        <v>8</v>
      </c>
      <c r="E167" s="6" t="s">
        <v>9</v>
      </c>
      <c r="F167" s="6" t="str">
        <f>"林德秋"</f>
        <v>林德秋</v>
      </c>
      <c r="G167" s="6" t="str">
        <f t="shared" ref="G167:G172" si="42">"女"</f>
        <v>女</v>
      </c>
    </row>
    <row r="168" customHeight="1" spans="1:7">
      <c r="A168" s="6">
        <v>166</v>
      </c>
      <c r="B168" s="6" t="str">
        <f>"72072024112615032969518"</f>
        <v>72072024112615032969518</v>
      </c>
      <c r="C168" s="6" t="str">
        <f t="shared" si="32"/>
        <v>0101</v>
      </c>
      <c r="D168" s="6" t="s">
        <v>8</v>
      </c>
      <c r="E168" s="6" t="s">
        <v>9</v>
      </c>
      <c r="F168" s="6" t="str">
        <f>"黄品"</f>
        <v>黄品</v>
      </c>
      <c r="G168" s="6" t="str">
        <f t="shared" si="42"/>
        <v>女</v>
      </c>
    </row>
    <row r="169" customHeight="1" spans="1:7">
      <c r="A169" s="6">
        <v>167</v>
      </c>
      <c r="B169" s="6" t="str">
        <f>"72072024112716311073761"</f>
        <v>72072024112716311073761</v>
      </c>
      <c r="C169" s="6" t="str">
        <f t="shared" si="32"/>
        <v>0101</v>
      </c>
      <c r="D169" s="6" t="s">
        <v>8</v>
      </c>
      <c r="E169" s="6" t="s">
        <v>9</v>
      </c>
      <c r="F169" s="6" t="str">
        <f>"陈业林"</f>
        <v>陈业林</v>
      </c>
      <c r="G169" s="6" t="str">
        <f t="shared" si="41"/>
        <v>男</v>
      </c>
    </row>
    <row r="170" customHeight="1" spans="1:7">
      <c r="A170" s="6">
        <v>168</v>
      </c>
      <c r="B170" s="6" t="str">
        <f>"72072024112618315470411"</f>
        <v>72072024112618315470411</v>
      </c>
      <c r="C170" s="6" t="str">
        <f t="shared" si="32"/>
        <v>0101</v>
      </c>
      <c r="D170" s="6" t="s">
        <v>8</v>
      </c>
      <c r="E170" s="6" t="s">
        <v>9</v>
      </c>
      <c r="F170" s="6" t="str">
        <f>"高臣"</f>
        <v>高臣</v>
      </c>
      <c r="G170" s="6" t="str">
        <f t="shared" si="41"/>
        <v>男</v>
      </c>
    </row>
    <row r="171" customHeight="1" spans="1:7">
      <c r="A171" s="6">
        <v>169</v>
      </c>
      <c r="B171" s="6" t="str">
        <f>"72072024112718261874145"</f>
        <v>72072024112718261874145</v>
      </c>
      <c r="C171" s="6" t="str">
        <f t="shared" si="32"/>
        <v>0101</v>
      </c>
      <c r="D171" s="6" t="s">
        <v>8</v>
      </c>
      <c r="E171" s="6" t="s">
        <v>9</v>
      </c>
      <c r="F171" s="6" t="str">
        <f>"吴清靖"</f>
        <v>吴清靖</v>
      </c>
      <c r="G171" s="6" t="str">
        <f t="shared" si="41"/>
        <v>男</v>
      </c>
    </row>
    <row r="172" customHeight="1" spans="1:7">
      <c r="A172" s="6">
        <v>170</v>
      </c>
      <c r="B172" s="6" t="str">
        <f>"72072024112713121072850"</f>
        <v>72072024112713121072850</v>
      </c>
      <c r="C172" s="6" t="str">
        <f t="shared" si="32"/>
        <v>0101</v>
      </c>
      <c r="D172" s="6" t="s">
        <v>8</v>
      </c>
      <c r="E172" s="6" t="s">
        <v>9</v>
      </c>
      <c r="F172" s="6" t="str">
        <f>"谢宏颖"</f>
        <v>谢宏颖</v>
      </c>
      <c r="G172" s="6" t="str">
        <f t="shared" si="42"/>
        <v>女</v>
      </c>
    </row>
    <row r="173" customHeight="1" spans="1:7">
      <c r="A173" s="6">
        <v>171</v>
      </c>
      <c r="B173" s="6" t="str">
        <f>"72072024112623225071308"</f>
        <v>72072024112623225071308</v>
      </c>
      <c r="C173" s="6" t="str">
        <f t="shared" si="32"/>
        <v>0101</v>
      </c>
      <c r="D173" s="6" t="s">
        <v>8</v>
      </c>
      <c r="E173" s="6" t="s">
        <v>9</v>
      </c>
      <c r="F173" s="6" t="str">
        <f>"高壬"</f>
        <v>高壬</v>
      </c>
      <c r="G173" s="6" t="str">
        <f t="shared" ref="G173:G177" si="43">"男"</f>
        <v>男</v>
      </c>
    </row>
    <row r="174" customHeight="1" spans="1:7">
      <c r="A174" s="6">
        <v>172</v>
      </c>
      <c r="B174" s="6" t="str">
        <f>"72072024112715563673564"</f>
        <v>72072024112715563673564</v>
      </c>
      <c r="C174" s="6" t="str">
        <f t="shared" si="32"/>
        <v>0101</v>
      </c>
      <c r="D174" s="6" t="s">
        <v>8</v>
      </c>
      <c r="E174" s="6" t="s">
        <v>9</v>
      </c>
      <c r="F174" s="6" t="str">
        <f>"杨成智"</f>
        <v>杨成智</v>
      </c>
      <c r="G174" s="6" t="str">
        <f t="shared" si="43"/>
        <v>男</v>
      </c>
    </row>
    <row r="175" customHeight="1" spans="1:7">
      <c r="A175" s="6">
        <v>173</v>
      </c>
      <c r="B175" s="6" t="str">
        <f>"72072024112719424574422"</f>
        <v>72072024112719424574422</v>
      </c>
      <c r="C175" s="6" t="str">
        <f t="shared" si="32"/>
        <v>0101</v>
      </c>
      <c r="D175" s="6" t="s">
        <v>8</v>
      </c>
      <c r="E175" s="6" t="s">
        <v>9</v>
      </c>
      <c r="F175" s="6" t="str">
        <f>"胡基琳"</f>
        <v>胡基琳</v>
      </c>
      <c r="G175" s="6" t="str">
        <f t="shared" ref="G175:G181" si="44">"女"</f>
        <v>女</v>
      </c>
    </row>
    <row r="176" customHeight="1" spans="1:7">
      <c r="A176" s="6">
        <v>174</v>
      </c>
      <c r="B176" s="6" t="str">
        <f>"72072024112719300174391"</f>
        <v>72072024112719300174391</v>
      </c>
      <c r="C176" s="6" t="str">
        <f t="shared" si="32"/>
        <v>0101</v>
      </c>
      <c r="D176" s="6" t="s">
        <v>8</v>
      </c>
      <c r="E176" s="6" t="s">
        <v>9</v>
      </c>
      <c r="F176" s="6" t="str">
        <f>"黎丁荣"</f>
        <v>黎丁荣</v>
      </c>
      <c r="G176" s="6" t="str">
        <f t="shared" si="43"/>
        <v>男</v>
      </c>
    </row>
    <row r="177" customHeight="1" spans="1:7">
      <c r="A177" s="6">
        <v>175</v>
      </c>
      <c r="B177" s="6" t="str">
        <f>"72072024112421430858871"</f>
        <v>72072024112421430858871</v>
      </c>
      <c r="C177" s="6" t="str">
        <f t="shared" si="32"/>
        <v>0101</v>
      </c>
      <c r="D177" s="6" t="s">
        <v>8</v>
      </c>
      <c r="E177" s="6" t="s">
        <v>9</v>
      </c>
      <c r="F177" s="6" t="str">
        <f>"梁崇翔"</f>
        <v>梁崇翔</v>
      </c>
      <c r="G177" s="6" t="str">
        <f t="shared" si="43"/>
        <v>男</v>
      </c>
    </row>
    <row r="178" customHeight="1" spans="1:7">
      <c r="A178" s="6">
        <v>176</v>
      </c>
      <c r="B178" s="6" t="str">
        <f>"72072024112717310773992"</f>
        <v>72072024112717310773992</v>
      </c>
      <c r="C178" s="6" t="str">
        <f t="shared" si="32"/>
        <v>0101</v>
      </c>
      <c r="D178" s="6" t="s">
        <v>8</v>
      </c>
      <c r="E178" s="6" t="s">
        <v>9</v>
      </c>
      <c r="F178" s="6" t="str">
        <f>"张建莹"</f>
        <v>张建莹</v>
      </c>
      <c r="G178" s="6" t="str">
        <f t="shared" si="44"/>
        <v>女</v>
      </c>
    </row>
    <row r="179" customHeight="1" spans="1:7">
      <c r="A179" s="6">
        <v>177</v>
      </c>
      <c r="B179" s="6" t="str">
        <f>"72072024112720415574648"</f>
        <v>72072024112720415574648</v>
      </c>
      <c r="C179" s="6" t="str">
        <f t="shared" si="32"/>
        <v>0101</v>
      </c>
      <c r="D179" s="6" t="s">
        <v>8</v>
      </c>
      <c r="E179" s="6" t="s">
        <v>9</v>
      </c>
      <c r="F179" s="6" t="str">
        <f>"刘洁敏"</f>
        <v>刘洁敏</v>
      </c>
      <c r="G179" s="6" t="str">
        <f t="shared" si="44"/>
        <v>女</v>
      </c>
    </row>
    <row r="180" customHeight="1" spans="1:7">
      <c r="A180" s="6">
        <v>178</v>
      </c>
      <c r="B180" s="6" t="str">
        <f>"72072024112620541270899"</f>
        <v>72072024112620541270899</v>
      </c>
      <c r="C180" s="6" t="str">
        <f t="shared" si="32"/>
        <v>0101</v>
      </c>
      <c r="D180" s="6" t="s">
        <v>8</v>
      </c>
      <c r="E180" s="6" t="s">
        <v>9</v>
      </c>
      <c r="F180" s="6" t="str">
        <f>"廖丁"</f>
        <v>廖丁</v>
      </c>
      <c r="G180" s="6" t="str">
        <f t="shared" si="44"/>
        <v>女</v>
      </c>
    </row>
    <row r="181" customHeight="1" spans="1:7">
      <c r="A181" s="6">
        <v>179</v>
      </c>
      <c r="B181" s="6" t="str">
        <f>"72072024112722052075002"</f>
        <v>72072024112722052075002</v>
      </c>
      <c r="C181" s="6" t="str">
        <f t="shared" si="32"/>
        <v>0101</v>
      </c>
      <c r="D181" s="6" t="s">
        <v>8</v>
      </c>
      <c r="E181" s="6" t="s">
        <v>9</v>
      </c>
      <c r="F181" s="6" t="str">
        <f>"韦文艺"</f>
        <v>韦文艺</v>
      </c>
      <c r="G181" s="6" t="str">
        <f t="shared" si="44"/>
        <v>女</v>
      </c>
    </row>
    <row r="182" customHeight="1" spans="1:7">
      <c r="A182" s="6">
        <v>180</v>
      </c>
      <c r="B182" s="6" t="str">
        <f>"72072024112720504874687"</f>
        <v>72072024112720504874687</v>
      </c>
      <c r="C182" s="6" t="str">
        <f t="shared" si="32"/>
        <v>0101</v>
      </c>
      <c r="D182" s="6" t="s">
        <v>8</v>
      </c>
      <c r="E182" s="6" t="s">
        <v>9</v>
      </c>
      <c r="F182" s="6" t="str">
        <f>"林一"</f>
        <v>林一</v>
      </c>
      <c r="G182" s="6" t="str">
        <f t="shared" ref="G182:G187" si="45">"男"</f>
        <v>男</v>
      </c>
    </row>
    <row r="183" customHeight="1" spans="1:7">
      <c r="A183" s="6">
        <v>181</v>
      </c>
      <c r="B183" s="6" t="str">
        <f>"72072024112722141275034"</f>
        <v>72072024112722141275034</v>
      </c>
      <c r="C183" s="6" t="str">
        <f t="shared" si="32"/>
        <v>0101</v>
      </c>
      <c r="D183" s="6" t="s">
        <v>8</v>
      </c>
      <c r="E183" s="6" t="s">
        <v>9</v>
      </c>
      <c r="F183" s="6" t="str">
        <f>"陈杰"</f>
        <v>陈杰</v>
      </c>
      <c r="G183" s="6" t="str">
        <f t="shared" si="45"/>
        <v>男</v>
      </c>
    </row>
    <row r="184" customHeight="1" spans="1:7">
      <c r="A184" s="6">
        <v>182</v>
      </c>
      <c r="B184" s="6" t="str">
        <f>"72072024112721412474898"</f>
        <v>72072024112721412474898</v>
      </c>
      <c r="C184" s="6" t="str">
        <f t="shared" si="32"/>
        <v>0101</v>
      </c>
      <c r="D184" s="6" t="s">
        <v>8</v>
      </c>
      <c r="E184" s="6" t="s">
        <v>9</v>
      </c>
      <c r="F184" s="6" t="str">
        <f>"卢琏仿"</f>
        <v>卢琏仿</v>
      </c>
      <c r="G184" s="6" t="str">
        <f t="shared" ref="G184:G186" si="46">"女"</f>
        <v>女</v>
      </c>
    </row>
    <row r="185" customHeight="1" spans="1:7">
      <c r="A185" s="6">
        <v>183</v>
      </c>
      <c r="B185" s="6" t="str">
        <f>"72072024112722261575071"</f>
        <v>72072024112722261575071</v>
      </c>
      <c r="C185" s="6" t="str">
        <f t="shared" si="32"/>
        <v>0101</v>
      </c>
      <c r="D185" s="6" t="s">
        <v>8</v>
      </c>
      <c r="E185" s="6" t="s">
        <v>9</v>
      </c>
      <c r="F185" s="6" t="str">
        <f>"黄垂媛"</f>
        <v>黄垂媛</v>
      </c>
      <c r="G185" s="6" t="str">
        <f t="shared" si="46"/>
        <v>女</v>
      </c>
    </row>
    <row r="186" customHeight="1" spans="1:7">
      <c r="A186" s="6">
        <v>184</v>
      </c>
      <c r="B186" s="6" t="str">
        <f>"72072024112723190875246"</f>
        <v>72072024112723190875246</v>
      </c>
      <c r="C186" s="6" t="str">
        <f t="shared" si="32"/>
        <v>0101</v>
      </c>
      <c r="D186" s="6" t="s">
        <v>8</v>
      </c>
      <c r="E186" s="6" t="s">
        <v>9</v>
      </c>
      <c r="F186" s="6" t="str">
        <f>"林杭洁"</f>
        <v>林杭洁</v>
      </c>
      <c r="G186" s="6" t="str">
        <f t="shared" si="46"/>
        <v>女</v>
      </c>
    </row>
    <row r="187" customHeight="1" spans="1:7">
      <c r="A187" s="6">
        <v>185</v>
      </c>
      <c r="B187" s="6" t="str">
        <f>"72072024112723541975307"</f>
        <v>72072024112723541975307</v>
      </c>
      <c r="C187" s="6" t="str">
        <f t="shared" si="32"/>
        <v>0101</v>
      </c>
      <c r="D187" s="6" t="s">
        <v>8</v>
      </c>
      <c r="E187" s="6" t="s">
        <v>9</v>
      </c>
      <c r="F187" s="6" t="str">
        <f>"陈健"</f>
        <v>陈健</v>
      </c>
      <c r="G187" s="6" t="str">
        <f t="shared" si="45"/>
        <v>男</v>
      </c>
    </row>
    <row r="188" customHeight="1" spans="1:7">
      <c r="A188" s="6">
        <v>186</v>
      </c>
      <c r="B188" s="6" t="str">
        <f>"72072024112800063975319"</f>
        <v>72072024112800063975319</v>
      </c>
      <c r="C188" s="6" t="str">
        <f t="shared" si="32"/>
        <v>0101</v>
      </c>
      <c r="D188" s="6" t="s">
        <v>8</v>
      </c>
      <c r="E188" s="6" t="s">
        <v>9</v>
      </c>
      <c r="F188" s="6" t="str">
        <f>"叶蕊"</f>
        <v>叶蕊</v>
      </c>
      <c r="G188" s="6" t="str">
        <f t="shared" ref="G188:G191" si="47">"女"</f>
        <v>女</v>
      </c>
    </row>
    <row r="189" customHeight="1" spans="1:7">
      <c r="A189" s="6">
        <v>187</v>
      </c>
      <c r="B189" s="6" t="str">
        <f>"72072024112802162975389"</f>
        <v>72072024112802162975389</v>
      </c>
      <c r="C189" s="6" t="str">
        <f t="shared" si="32"/>
        <v>0101</v>
      </c>
      <c r="D189" s="6" t="s">
        <v>8</v>
      </c>
      <c r="E189" s="6" t="s">
        <v>9</v>
      </c>
      <c r="F189" s="6" t="str">
        <f>"禤莹"</f>
        <v>禤莹</v>
      </c>
      <c r="G189" s="6" t="str">
        <f t="shared" si="47"/>
        <v>女</v>
      </c>
    </row>
    <row r="190" customHeight="1" spans="1:7">
      <c r="A190" s="6">
        <v>188</v>
      </c>
      <c r="B190" s="6" t="str">
        <f>"72072024112519303565990"</f>
        <v>72072024112519303565990</v>
      </c>
      <c r="C190" s="6" t="str">
        <f t="shared" si="32"/>
        <v>0101</v>
      </c>
      <c r="D190" s="6" t="s">
        <v>8</v>
      </c>
      <c r="E190" s="6" t="s">
        <v>9</v>
      </c>
      <c r="F190" s="6" t="str">
        <f>"魏丽丽"</f>
        <v>魏丽丽</v>
      </c>
      <c r="G190" s="6" t="str">
        <f t="shared" si="47"/>
        <v>女</v>
      </c>
    </row>
    <row r="191" customHeight="1" spans="1:7">
      <c r="A191" s="6">
        <v>189</v>
      </c>
      <c r="B191" s="6" t="str">
        <f>"72072024112809000175679"</f>
        <v>72072024112809000175679</v>
      </c>
      <c r="C191" s="6" t="str">
        <f t="shared" si="32"/>
        <v>0101</v>
      </c>
      <c r="D191" s="6" t="s">
        <v>8</v>
      </c>
      <c r="E191" s="6" t="s">
        <v>9</v>
      </c>
      <c r="F191" s="6" t="str">
        <f>"符冬群"</f>
        <v>符冬群</v>
      </c>
      <c r="G191" s="6" t="str">
        <f t="shared" si="47"/>
        <v>女</v>
      </c>
    </row>
    <row r="192" customHeight="1" spans="1:7">
      <c r="A192" s="6">
        <v>190</v>
      </c>
      <c r="B192" s="6" t="str">
        <f>"72072024112809182675814"</f>
        <v>72072024112809182675814</v>
      </c>
      <c r="C192" s="6" t="str">
        <f t="shared" si="32"/>
        <v>0101</v>
      </c>
      <c r="D192" s="6" t="s">
        <v>8</v>
      </c>
      <c r="E192" s="6" t="s">
        <v>9</v>
      </c>
      <c r="F192" s="6" t="str">
        <f>"陈明发"</f>
        <v>陈明发</v>
      </c>
      <c r="G192" s="6" t="str">
        <f>"男"</f>
        <v>男</v>
      </c>
    </row>
    <row r="193" customHeight="1" spans="1:7">
      <c r="A193" s="6">
        <v>191</v>
      </c>
      <c r="B193" s="6" t="str">
        <f>"72072024112809311075902"</f>
        <v>72072024112809311075902</v>
      </c>
      <c r="C193" s="6" t="str">
        <f t="shared" si="32"/>
        <v>0101</v>
      </c>
      <c r="D193" s="6" t="s">
        <v>8</v>
      </c>
      <c r="E193" s="6" t="s">
        <v>9</v>
      </c>
      <c r="F193" s="6" t="str">
        <f>"黄春玉"</f>
        <v>黄春玉</v>
      </c>
      <c r="G193" s="6" t="str">
        <f t="shared" ref="G193:G199" si="48">"女"</f>
        <v>女</v>
      </c>
    </row>
    <row r="194" customHeight="1" spans="1:7">
      <c r="A194" s="6">
        <v>192</v>
      </c>
      <c r="B194" s="6" t="str">
        <f>"72072024112510572061599"</f>
        <v>72072024112510572061599</v>
      </c>
      <c r="C194" s="6" t="str">
        <f t="shared" si="32"/>
        <v>0101</v>
      </c>
      <c r="D194" s="6" t="s">
        <v>8</v>
      </c>
      <c r="E194" s="6" t="s">
        <v>9</v>
      </c>
      <c r="F194" s="6" t="str">
        <f>"陈丹婷"</f>
        <v>陈丹婷</v>
      </c>
      <c r="G194" s="6" t="str">
        <f t="shared" si="48"/>
        <v>女</v>
      </c>
    </row>
    <row r="195" customHeight="1" spans="1:7">
      <c r="A195" s="6">
        <v>193</v>
      </c>
      <c r="B195" s="6" t="str">
        <f>"72072024112514364963658"</f>
        <v>72072024112514364963658</v>
      </c>
      <c r="C195" s="6" t="str">
        <f t="shared" ref="C195:C258" si="49">"0101"</f>
        <v>0101</v>
      </c>
      <c r="D195" s="6" t="s">
        <v>8</v>
      </c>
      <c r="E195" s="6" t="s">
        <v>9</v>
      </c>
      <c r="F195" s="6" t="str">
        <f>"卢兴冰"</f>
        <v>卢兴冰</v>
      </c>
      <c r="G195" s="6" t="str">
        <f t="shared" si="48"/>
        <v>女</v>
      </c>
    </row>
    <row r="196" customHeight="1" spans="1:7">
      <c r="A196" s="6">
        <v>194</v>
      </c>
      <c r="B196" s="6" t="str">
        <f>"72072024112811185876648"</f>
        <v>72072024112811185876648</v>
      </c>
      <c r="C196" s="6" t="str">
        <f t="shared" si="49"/>
        <v>0101</v>
      </c>
      <c r="D196" s="6" t="s">
        <v>8</v>
      </c>
      <c r="E196" s="6" t="s">
        <v>9</v>
      </c>
      <c r="F196" s="6" t="str">
        <f>"符少连"</f>
        <v>符少连</v>
      </c>
      <c r="G196" s="6" t="str">
        <f t="shared" si="48"/>
        <v>女</v>
      </c>
    </row>
    <row r="197" customHeight="1" spans="1:7">
      <c r="A197" s="6">
        <v>195</v>
      </c>
      <c r="B197" s="6" t="str">
        <f>"72072024112800351975349"</f>
        <v>72072024112800351975349</v>
      </c>
      <c r="C197" s="6" t="str">
        <f t="shared" si="49"/>
        <v>0101</v>
      </c>
      <c r="D197" s="6" t="s">
        <v>8</v>
      </c>
      <c r="E197" s="6" t="s">
        <v>9</v>
      </c>
      <c r="F197" s="6" t="str">
        <f>"廖华舜"</f>
        <v>廖华舜</v>
      </c>
      <c r="G197" s="6" t="str">
        <f t="shared" si="48"/>
        <v>女</v>
      </c>
    </row>
    <row r="198" customHeight="1" spans="1:7">
      <c r="A198" s="6">
        <v>196</v>
      </c>
      <c r="B198" s="6" t="str">
        <f>"72072024112813163177270"</f>
        <v>72072024112813163177270</v>
      </c>
      <c r="C198" s="6" t="str">
        <f t="shared" si="49"/>
        <v>0101</v>
      </c>
      <c r="D198" s="6" t="s">
        <v>8</v>
      </c>
      <c r="E198" s="6" t="s">
        <v>9</v>
      </c>
      <c r="F198" s="6" t="str">
        <f>"容丽芳"</f>
        <v>容丽芳</v>
      </c>
      <c r="G198" s="6" t="str">
        <f t="shared" si="48"/>
        <v>女</v>
      </c>
    </row>
    <row r="199" customHeight="1" spans="1:7">
      <c r="A199" s="6">
        <v>197</v>
      </c>
      <c r="B199" s="6" t="str">
        <f>"72072024112812403777066"</f>
        <v>72072024112812403777066</v>
      </c>
      <c r="C199" s="6" t="str">
        <f t="shared" si="49"/>
        <v>0101</v>
      </c>
      <c r="D199" s="6" t="s">
        <v>8</v>
      </c>
      <c r="E199" s="6" t="s">
        <v>9</v>
      </c>
      <c r="F199" s="6" t="str">
        <f>"杨伟玲"</f>
        <v>杨伟玲</v>
      </c>
      <c r="G199" s="6" t="str">
        <f t="shared" si="48"/>
        <v>女</v>
      </c>
    </row>
    <row r="200" customHeight="1" spans="1:7">
      <c r="A200" s="6">
        <v>198</v>
      </c>
      <c r="B200" s="6" t="str">
        <f>"72072024112410455157029"</f>
        <v>72072024112410455157029</v>
      </c>
      <c r="C200" s="6" t="str">
        <f t="shared" si="49"/>
        <v>0101</v>
      </c>
      <c r="D200" s="6" t="s">
        <v>8</v>
      </c>
      <c r="E200" s="6" t="s">
        <v>9</v>
      </c>
      <c r="F200" s="6" t="str">
        <f>"陈辉"</f>
        <v>陈辉</v>
      </c>
      <c r="G200" s="6" t="str">
        <f>"男"</f>
        <v>男</v>
      </c>
    </row>
    <row r="201" customHeight="1" spans="1:7">
      <c r="A201" s="6">
        <v>199</v>
      </c>
      <c r="B201" s="6" t="str">
        <f>"72072024112715141773333"</f>
        <v>72072024112715141773333</v>
      </c>
      <c r="C201" s="6" t="str">
        <f t="shared" si="49"/>
        <v>0101</v>
      </c>
      <c r="D201" s="6" t="s">
        <v>8</v>
      </c>
      <c r="E201" s="6" t="s">
        <v>9</v>
      </c>
      <c r="F201" s="6" t="str">
        <f>"裴威祉"</f>
        <v>裴威祉</v>
      </c>
      <c r="G201" s="6" t="str">
        <f t="shared" ref="G201:G205" si="50">"女"</f>
        <v>女</v>
      </c>
    </row>
    <row r="202" customHeight="1" spans="1:7">
      <c r="A202" s="6">
        <v>200</v>
      </c>
      <c r="B202" s="6" t="str">
        <f>"72072024112708491571580"</f>
        <v>72072024112708491571580</v>
      </c>
      <c r="C202" s="6" t="str">
        <f t="shared" si="49"/>
        <v>0101</v>
      </c>
      <c r="D202" s="6" t="s">
        <v>8</v>
      </c>
      <c r="E202" s="6" t="s">
        <v>9</v>
      </c>
      <c r="F202" s="6" t="str">
        <f>"张春卿"</f>
        <v>张春卿</v>
      </c>
      <c r="G202" s="6" t="str">
        <f t="shared" si="50"/>
        <v>女</v>
      </c>
    </row>
    <row r="203" customHeight="1" spans="1:7">
      <c r="A203" s="6">
        <v>201</v>
      </c>
      <c r="B203" s="6" t="str">
        <f>"72072024112714432473168"</f>
        <v>72072024112714432473168</v>
      </c>
      <c r="C203" s="6" t="str">
        <f t="shared" si="49"/>
        <v>0101</v>
      </c>
      <c r="D203" s="6" t="s">
        <v>8</v>
      </c>
      <c r="E203" s="6" t="s">
        <v>9</v>
      </c>
      <c r="F203" s="6" t="str">
        <f>"曹俊斌"</f>
        <v>曹俊斌</v>
      </c>
      <c r="G203" s="6" t="str">
        <f t="shared" ref="G203:G208" si="51">"男"</f>
        <v>男</v>
      </c>
    </row>
    <row r="204" customHeight="1" spans="1:7">
      <c r="A204" s="6">
        <v>202</v>
      </c>
      <c r="B204" s="6" t="str">
        <f>"72072024112814562677779"</f>
        <v>72072024112814562677779</v>
      </c>
      <c r="C204" s="6" t="str">
        <f t="shared" si="49"/>
        <v>0101</v>
      </c>
      <c r="D204" s="6" t="s">
        <v>8</v>
      </c>
      <c r="E204" s="6" t="s">
        <v>9</v>
      </c>
      <c r="F204" s="6" t="str">
        <f>"罗梅警"</f>
        <v>罗梅警</v>
      </c>
      <c r="G204" s="6" t="str">
        <f t="shared" si="50"/>
        <v>女</v>
      </c>
    </row>
    <row r="205" customHeight="1" spans="1:7">
      <c r="A205" s="6">
        <v>203</v>
      </c>
      <c r="B205" s="6" t="str">
        <f>"72072024112410331856989"</f>
        <v>72072024112410331856989</v>
      </c>
      <c r="C205" s="6" t="str">
        <f t="shared" si="49"/>
        <v>0101</v>
      </c>
      <c r="D205" s="6" t="s">
        <v>8</v>
      </c>
      <c r="E205" s="6" t="s">
        <v>9</v>
      </c>
      <c r="F205" s="6" t="str">
        <f>"谢慧芬"</f>
        <v>谢慧芬</v>
      </c>
      <c r="G205" s="6" t="str">
        <f t="shared" si="50"/>
        <v>女</v>
      </c>
    </row>
    <row r="206" customHeight="1" spans="1:7">
      <c r="A206" s="6">
        <v>204</v>
      </c>
      <c r="B206" s="6" t="str">
        <f>"72072024112814564777783"</f>
        <v>72072024112814564777783</v>
      </c>
      <c r="C206" s="6" t="str">
        <f t="shared" si="49"/>
        <v>0101</v>
      </c>
      <c r="D206" s="6" t="s">
        <v>8</v>
      </c>
      <c r="E206" s="6" t="s">
        <v>9</v>
      </c>
      <c r="F206" s="6" t="str">
        <f>"王甲壮"</f>
        <v>王甲壮</v>
      </c>
      <c r="G206" s="6" t="str">
        <f t="shared" si="51"/>
        <v>男</v>
      </c>
    </row>
    <row r="207" customHeight="1" spans="1:7">
      <c r="A207" s="6">
        <v>205</v>
      </c>
      <c r="B207" s="6" t="str">
        <f>"72072024112718134974107"</f>
        <v>72072024112718134974107</v>
      </c>
      <c r="C207" s="6" t="str">
        <f t="shared" si="49"/>
        <v>0101</v>
      </c>
      <c r="D207" s="6" t="s">
        <v>8</v>
      </c>
      <c r="E207" s="6" t="s">
        <v>9</v>
      </c>
      <c r="F207" s="6" t="str">
        <f>"林一峰"</f>
        <v>林一峰</v>
      </c>
      <c r="G207" s="6" t="str">
        <f t="shared" si="51"/>
        <v>男</v>
      </c>
    </row>
    <row r="208" customHeight="1" spans="1:7">
      <c r="A208" s="6">
        <v>206</v>
      </c>
      <c r="B208" s="6" t="str">
        <f>"72072024112815031777835"</f>
        <v>72072024112815031777835</v>
      </c>
      <c r="C208" s="6" t="str">
        <f t="shared" si="49"/>
        <v>0101</v>
      </c>
      <c r="D208" s="6" t="s">
        <v>8</v>
      </c>
      <c r="E208" s="6" t="s">
        <v>9</v>
      </c>
      <c r="F208" s="6" t="str">
        <f>"高佳乐"</f>
        <v>高佳乐</v>
      </c>
      <c r="G208" s="6" t="str">
        <f t="shared" si="51"/>
        <v>男</v>
      </c>
    </row>
    <row r="209" customHeight="1" spans="1:7">
      <c r="A209" s="6">
        <v>207</v>
      </c>
      <c r="B209" s="6" t="str">
        <f>"72072024112815134377933"</f>
        <v>72072024112815134377933</v>
      </c>
      <c r="C209" s="6" t="str">
        <f t="shared" si="49"/>
        <v>0101</v>
      </c>
      <c r="D209" s="6" t="s">
        <v>8</v>
      </c>
      <c r="E209" s="6" t="s">
        <v>9</v>
      </c>
      <c r="F209" s="6" t="str">
        <f>"吴桂兰"</f>
        <v>吴桂兰</v>
      </c>
      <c r="G209" s="6" t="str">
        <f t="shared" ref="G209:G211" si="52">"女"</f>
        <v>女</v>
      </c>
    </row>
    <row r="210" customHeight="1" spans="1:7">
      <c r="A210" s="6">
        <v>208</v>
      </c>
      <c r="B210" s="6" t="str">
        <f>"72072024112222043654517"</f>
        <v>72072024112222043654517</v>
      </c>
      <c r="C210" s="6" t="str">
        <f t="shared" si="49"/>
        <v>0101</v>
      </c>
      <c r="D210" s="6" t="s">
        <v>8</v>
      </c>
      <c r="E210" s="6" t="s">
        <v>9</v>
      </c>
      <c r="F210" s="6" t="str">
        <f>"张婷婷"</f>
        <v>张婷婷</v>
      </c>
      <c r="G210" s="6" t="str">
        <f t="shared" si="52"/>
        <v>女</v>
      </c>
    </row>
    <row r="211" customHeight="1" spans="1:7">
      <c r="A211" s="6">
        <v>209</v>
      </c>
      <c r="B211" s="6" t="str">
        <f>"72072024112720552074709"</f>
        <v>72072024112720552074709</v>
      </c>
      <c r="C211" s="6" t="str">
        <f t="shared" si="49"/>
        <v>0101</v>
      </c>
      <c r="D211" s="6" t="s">
        <v>8</v>
      </c>
      <c r="E211" s="6" t="s">
        <v>9</v>
      </c>
      <c r="F211" s="6" t="str">
        <f>"陈紫玉"</f>
        <v>陈紫玉</v>
      </c>
      <c r="G211" s="6" t="str">
        <f t="shared" si="52"/>
        <v>女</v>
      </c>
    </row>
    <row r="212" customHeight="1" spans="1:7">
      <c r="A212" s="6">
        <v>210</v>
      </c>
      <c r="B212" s="6" t="str">
        <f>"72072024112621342771032"</f>
        <v>72072024112621342771032</v>
      </c>
      <c r="C212" s="6" t="str">
        <f t="shared" si="49"/>
        <v>0101</v>
      </c>
      <c r="D212" s="6" t="s">
        <v>8</v>
      </c>
      <c r="E212" s="6" t="s">
        <v>9</v>
      </c>
      <c r="F212" s="6" t="str">
        <f>"苏力韶"</f>
        <v>苏力韶</v>
      </c>
      <c r="G212" s="6" t="str">
        <f>"男"</f>
        <v>男</v>
      </c>
    </row>
    <row r="213" customHeight="1" spans="1:7">
      <c r="A213" s="6">
        <v>211</v>
      </c>
      <c r="B213" s="6" t="str">
        <f>"72072024112721562574964"</f>
        <v>72072024112721562574964</v>
      </c>
      <c r="C213" s="6" t="str">
        <f t="shared" si="49"/>
        <v>0101</v>
      </c>
      <c r="D213" s="6" t="s">
        <v>8</v>
      </c>
      <c r="E213" s="6" t="s">
        <v>9</v>
      </c>
      <c r="F213" s="6" t="str">
        <f>"王秋颖"</f>
        <v>王秋颖</v>
      </c>
      <c r="G213" s="6" t="str">
        <f t="shared" ref="G213:G215" si="53">"女"</f>
        <v>女</v>
      </c>
    </row>
    <row r="214" customHeight="1" spans="1:7">
      <c r="A214" s="6">
        <v>212</v>
      </c>
      <c r="B214" s="6" t="str">
        <f>"72072024112617341870252"</f>
        <v>72072024112617341870252</v>
      </c>
      <c r="C214" s="6" t="str">
        <f t="shared" si="49"/>
        <v>0101</v>
      </c>
      <c r="D214" s="6" t="s">
        <v>8</v>
      </c>
      <c r="E214" s="6" t="s">
        <v>9</v>
      </c>
      <c r="F214" s="6" t="str">
        <f>"马威威"</f>
        <v>马威威</v>
      </c>
      <c r="G214" s="6" t="str">
        <f t="shared" si="53"/>
        <v>女</v>
      </c>
    </row>
    <row r="215" customHeight="1" spans="1:7">
      <c r="A215" s="6">
        <v>213</v>
      </c>
      <c r="B215" s="6" t="str">
        <f>"72072024112817091678873"</f>
        <v>72072024112817091678873</v>
      </c>
      <c r="C215" s="6" t="str">
        <f t="shared" si="49"/>
        <v>0101</v>
      </c>
      <c r="D215" s="6" t="s">
        <v>8</v>
      </c>
      <c r="E215" s="6" t="s">
        <v>9</v>
      </c>
      <c r="F215" s="6" t="str">
        <f>"陈虹君"</f>
        <v>陈虹君</v>
      </c>
      <c r="G215" s="6" t="str">
        <f t="shared" si="53"/>
        <v>女</v>
      </c>
    </row>
    <row r="216" customHeight="1" spans="1:7">
      <c r="A216" s="6">
        <v>214</v>
      </c>
      <c r="B216" s="6" t="str">
        <f>"72072024112516011964717"</f>
        <v>72072024112516011964717</v>
      </c>
      <c r="C216" s="6" t="str">
        <f t="shared" si="49"/>
        <v>0101</v>
      </c>
      <c r="D216" s="6" t="s">
        <v>8</v>
      </c>
      <c r="E216" s="6" t="s">
        <v>9</v>
      </c>
      <c r="F216" s="6" t="str">
        <f>"陈浩"</f>
        <v>陈浩</v>
      </c>
      <c r="G216" s="6" t="str">
        <f>"男"</f>
        <v>男</v>
      </c>
    </row>
    <row r="217" customHeight="1" spans="1:7">
      <c r="A217" s="6">
        <v>215</v>
      </c>
      <c r="B217" s="6" t="str">
        <f>"72072024112722414675127"</f>
        <v>72072024112722414675127</v>
      </c>
      <c r="C217" s="6" t="str">
        <f t="shared" si="49"/>
        <v>0101</v>
      </c>
      <c r="D217" s="6" t="s">
        <v>8</v>
      </c>
      <c r="E217" s="6" t="s">
        <v>9</v>
      </c>
      <c r="F217" s="6" t="str">
        <f>"张华霜"</f>
        <v>张华霜</v>
      </c>
      <c r="G217" s="6" t="str">
        <f t="shared" ref="G217:G221" si="54">"女"</f>
        <v>女</v>
      </c>
    </row>
    <row r="218" customHeight="1" spans="1:7">
      <c r="A218" s="6">
        <v>216</v>
      </c>
      <c r="B218" s="6" t="str">
        <f>"72072024112818045279206"</f>
        <v>72072024112818045279206</v>
      </c>
      <c r="C218" s="6" t="str">
        <f t="shared" si="49"/>
        <v>0101</v>
      </c>
      <c r="D218" s="6" t="s">
        <v>8</v>
      </c>
      <c r="E218" s="6" t="s">
        <v>9</v>
      </c>
      <c r="F218" s="6" t="str">
        <f>"裴珏"</f>
        <v>裴珏</v>
      </c>
      <c r="G218" s="6" t="str">
        <f t="shared" si="54"/>
        <v>女</v>
      </c>
    </row>
    <row r="219" customHeight="1" spans="1:7">
      <c r="A219" s="6">
        <v>217</v>
      </c>
      <c r="B219" s="6" t="str">
        <f>"72072024112817290178988"</f>
        <v>72072024112817290178988</v>
      </c>
      <c r="C219" s="6" t="str">
        <f t="shared" si="49"/>
        <v>0101</v>
      </c>
      <c r="D219" s="6" t="s">
        <v>8</v>
      </c>
      <c r="E219" s="6" t="s">
        <v>9</v>
      </c>
      <c r="F219" s="6" t="str">
        <f>"黎思"</f>
        <v>黎思</v>
      </c>
      <c r="G219" s="6" t="str">
        <f t="shared" ref="G219:G224" si="55">"男"</f>
        <v>男</v>
      </c>
    </row>
    <row r="220" customHeight="1" spans="1:7">
      <c r="A220" s="6">
        <v>218</v>
      </c>
      <c r="B220" s="6" t="str">
        <f>"72072024112818042379203"</f>
        <v>72072024112818042379203</v>
      </c>
      <c r="C220" s="6" t="str">
        <f t="shared" si="49"/>
        <v>0101</v>
      </c>
      <c r="D220" s="6" t="s">
        <v>8</v>
      </c>
      <c r="E220" s="6" t="s">
        <v>9</v>
      </c>
      <c r="F220" s="6" t="str">
        <f>"黎倩"</f>
        <v>黎倩</v>
      </c>
      <c r="G220" s="6" t="str">
        <f t="shared" si="54"/>
        <v>女</v>
      </c>
    </row>
    <row r="221" customHeight="1" spans="1:7">
      <c r="A221" s="6">
        <v>219</v>
      </c>
      <c r="B221" s="6" t="str">
        <f>"72072024112818082179227"</f>
        <v>72072024112818082179227</v>
      </c>
      <c r="C221" s="6" t="str">
        <f t="shared" si="49"/>
        <v>0101</v>
      </c>
      <c r="D221" s="6" t="s">
        <v>8</v>
      </c>
      <c r="E221" s="6" t="s">
        <v>9</v>
      </c>
      <c r="F221" s="6" t="str">
        <f>"金怡君"</f>
        <v>金怡君</v>
      </c>
      <c r="G221" s="6" t="str">
        <f t="shared" si="54"/>
        <v>女</v>
      </c>
    </row>
    <row r="222" customHeight="1" spans="1:7">
      <c r="A222" s="6">
        <v>220</v>
      </c>
      <c r="B222" s="6" t="str">
        <f>"72072024112215405953467"</f>
        <v>72072024112215405953467</v>
      </c>
      <c r="C222" s="6" t="str">
        <f t="shared" si="49"/>
        <v>0101</v>
      </c>
      <c r="D222" s="6" t="s">
        <v>8</v>
      </c>
      <c r="E222" s="6" t="s">
        <v>9</v>
      </c>
      <c r="F222" s="6" t="str">
        <f>"陈思武"</f>
        <v>陈思武</v>
      </c>
      <c r="G222" s="6" t="str">
        <f t="shared" si="55"/>
        <v>男</v>
      </c>
    </row>
    <row r="223" customHeight="1" spans="1:7">
      <c r="A223" s="6">
        <v>221</v>
      </c>
      <c r="B223" s="6" t="str">
        <f>"72072024112815471478220"</f>
        <v>72072024112815471478220</v>
      </c>
      <c r="C223" s="6" t="str">
        <f t="shared" si="49"/>
        <v>0101</v>
      </c>
      <c r="D223" s="6" t="s">
        <v>8</v>
      </c>
      <c r="E223" s="6" t="s">
        <v>9</v>
      </c>
      <c r="F223" s="6" t="str">
        <f>"苏锦智"</f>
        <v>苏锦智</v>
      </c>
      <c r="G223" s="6" t="str">
        <f t="shared" si="55"/>
        <v>男</v>
      </c>
    </row>
    <row r="224" customHeight="1" spans="1:7">
      <c r="A224" s="6">
        <v>222</v>
      </c>
      <c r="B224" s="6" t="str">
        <f>"72072024112320052556245"</f>
        <v>72072024112320052556245</v>
      </c>
      <c r="C224" s="6" t="str">
        <f t="shared" si="49"/>
        <v>0101</v>
      </c>
      <c r="D224" s="6" t="s">
        <v>8</v>
      </c>
      <c r="E224" s="6" t="s">
        <v>9</v>
      </c>
      <c r="F224" s="6" t="str">
        <f>"邢贞霆"</f>
        <v>邢贞霆</v>
      </c>
      <c r="G224" s="6" t="str">
        <f t="shared" si="55"/>
        <v>男</v>
      </c>
    </row>
    <row r="225" customHeight="1" spans="1:7">
      <c r="A225" s="6">
        <v>223</v>
      </c>
      <c r="B225" s="6" t="str">
        <f>"72072024112819365679854"</f>
        <v>72072024112819365679854</v>
      </c>
      <c r="C225" s="6" t="str">
        <f t="shared" si="49"/>
        <v>0101</v>
      </c>
      <c r="D225" s="6" t="s">
        <v>8</v>
      </c>
      <c r="E225" s="6" t="s">
        <v>9</v>
      </c>
      <c r="F225" s="6" t="str">
        <f>"林菡"</f>
        <v>林菡</v>
      </c>
      <c r="G225" s="6" t="str">
        <f t="shared" ref="G225:G230" si="56">"女"</f>
        <v>女</v>
      </c>
    </row>
    <row r="226" customHeight="1" spans="1:7">
      <c r="A226" s="6">
        <v>224</v>
      </c>
      <c r="B226" s="6" t="str">
        <f>"72072024112819292579786"</f>
        <v>72072024112819292579786</v>
      </c>
      <c r="C226" s="6" t="str">
        <f t="shared" si="49"/>
        <v>0101</v>
      </c>
      <c r="D226" s="6" t="s">
        <v>8</v>
      </c>
      <c r="E226" s="6" t="s">
        <v>9</v>
      </c>
      <c r="F226" s="6" t="str">
        <f>"符鲁权"</f>
        <v>符鲁权</v>
      </c>
      <c r="G226" s="6" t="str">
        <f t="shared" ref="G226:G229" si="57">"男"</f>
        <v>男</v>
      </c>
    </row>
    <row r="227" customHeight="1" spans="1:7">
      <c r="A227" s="6">
        <v>225</v>
      </c>
      <c r="B227" s="6" t="str">
        <f>"72072024112211393752857"</f>
        <v>72072024112211393752857</v>
      </c>
      <c r="C227" s="6" t="str">
        <f t="shared" si="49"/>
        <v>0101</v>
      </c>
      <c r="D227" s="6" t="s">
        <v>8</v>
      </c>
      <c r="E227" s="6" t="s">
        <v>9</v>
      </c>
      <c r="F227" s="6" t="str">
        <f>"蒋惠妹"</f>
        <v>蒋惠妹</v>
      </c>
      <c r="G227" s="6" t="str">
        <f t="shared" si="56"/>
        <v>女</v>
      </c>
    </row>
    <row r="228" customHeight="1" spans="1:7">
      <c r="A228" s="6">
        <v>226</v>
      </c>
      <c r="B228" s="6" t="str">
        <f>"72072024112819450879929"</f>
        <v>72072024112819450879929</v>
      </c>
      <c r="C228" s="6" t="str">
        <f t="shared" si="49"/>
        <v>0101</v>
      </c>
      <c r="D228" s="6" t="s">
        <v>8</v>
      </c>
      <c r="E228" s="6" t="s">
        <v>9</v>
      </c>
      <c r="F228" s="6" t="str">
        <f>"肖军军"</f>
        <v>肖军军</v>
      </c>
      <c r="G228" s="6" t="str">
        <f t="shared" si="57"/>
        <v>男</v>
      </c>
    </row>
    <row r="229" customHeight="1" spans="1:7">
      <c r="A229" s="6">
        <v>227</v>
      </c>
      <c r="B229" s="6" t="str">
        <f>"72072024112820382680367"</f>
        <v>72072024112820382680367</v>
      </c>
      <c r="C229" s="6" t="str">
        <f t="shared" si="49"/>
        <v>0101</v>
      </c>
      <c r="D229" s="6" t="s">
        <v>8</v>
      </c>
      <c r="E229" s="6" t="s">
        <v>9</v>
      </c>
      <c r="F229" s="6" t="str">
        <f>"姜佳呈"</f>
        <v>姜佳呈</v>
      </c>
      <c r="G229" s="6" t="str">
        <f t="shared" si="57"/>
        <v>男</v>
      </c>
    </row>
    <row r="230" customHeight="1" spans="1:7">
      <c r="A230" s="6">
        <v>228</v>
      </c>
      <c r="B230" s="6" t="str">
        <f>"72072024112814475877709"</f>
        <v>72072024112814475877709</v>
      </c>
      <c r="C230" s="6" t="str">
        <f t="shared" si="49"/>
        <v>0101</v>
      </c>
      <c r="D230" s="6" t="s">
        <v>8</v>
      </c>
      <c r="E230" s="6" t="s">
        <v>9</v>
      </c>
      <c r="F230" s="6" t="str">
        <f>"周紫"</f>
        <v>周紫</v>
      </c>
      <c r="G230" s="6" t="str">
        <f t="shared" si="56"/>
        <v>女</v>
      </c>
    </row>
    <row r="231" customHeight="1" spans="1:7">
      <c r="A231" s="6">
        <v>229</v>
      </c>
      <c r="B231" s="6" t="str">
        <f>"72072024112708594871631"</f>
        <v>72072024112708594871631</v>
      </c>
      <c r="C231" s="6" t="str">
        <f t="shared" si="49"/>
        <v>0101</v>
      </c>
      <c r="D231" s="6" t="s">
        <v>8</v>
      </c>
      <c r="E231" s="6" t="s">
        <v>9</v>
      </c>
      <c r="F231" s="6" t="str">
        <f>"尹春子"</f>
        <v>尹春子</v>
      </c>
      <c r="G231" s="6" t="str">
        <f t="shared" ref="G231:G235" si="58">"男"</f>
        <v>男</v>
      </c>
    </row>
    <row r="232" customHeight="1" spans="1:7">
      <c r="A232" s="6">
        <v>230</v>
      </c>
      <c r="B232" s="6" t="str">
        <f>"72072024112820310480310"</f>
        <v>72072024112820310480310</v>
      </c>
      <c r="C232" s="6" t="str">
        <f t="shared" si="49"/>
        <v>0101</v>
      </c>
      <c r="D232" s="6" t="s">
        <v>8</v>
      </c>
      <c r="E232" s="6" t="s">
        <v>9</v>
      </c>
      <c r="F232" s="6" t="str">
        <f>"耿文思"</f>
        <v>耿文思</v>
      </c>
      <c r="G232" s="6" t="str">
        <f t="shared" ref="G232:G238" si="59">"女"</f>
        <v>女</v>
      </c>
    </row>
    <row r="233" customHeight="1" spans="1:7">
      <c r="A233" s="6">
        <v>231</v>
      </c>
      <c r="B233" s="6" t="str">
        <f>"72072024112712343872731"</f>
        <v>72072024112712343872731</v>
      </c>
      <c r="C233" s="6" t="str">
        <f t="shared" si="49"/>
        <v>0101</v>
      </c>
      <c r="D233" s="6" t="s">
        <v>8</v>
      </c>
      <c r="E233" s="6" t="s">
        <v>9</v>
      </c>
      <c r="F233" s="6" t="str">
        <f>"张德来"</f>
        <v>张德来</v>
      </c>
      <c r="G233" s="6" t="str">
        <f t="shared" si="58"/>
        <v>男</v>
      </c>
    </row>
    <row r="234" customHeight="1" spans="1:7">
      <c r="A234" s="6">
        <v>232</v>
      </c>
      <c r="B234" s="6" t="str">
        <f>"72072024112820512780462"</f>
        <v>72072024112820512780462</v>
      </c>
      <c r="C234" s="6" t="str">
        <f t="shared" si="49"/>
        <v>0101</v>
      </c>
      <c r="D234" s="6" t="s">
        <v>8</v>
      </c>
      <c r="E234" s="6" t="s">
        <v>9</v>
      </c>
      <c r="F234" s="6" t="str">
        <f>"曾渝"</f>
        <v>曾渝</v>
      </c>
      <c r="G234" s="6" t="str">
        <f t="shared" si="59"/>
        <v>女</v>
      </c>
    </row>
    <row r="235" customHeight="1" spans="1:7">
      <c r="A235" s="6">
        <v>233</v>
      </c>
      <c r="B235" s="6" t="str">
        <f>"72072024112815202078001"</f>
        <v>72072024112815202078001</v>
      </c>
      <c r="C235" s="6" t="str">
        <f t="shared" si="49"/>
        <v>0101</v>
      </c>
      <c r="D235" s="6" t="s">
        <v>8</v>
      </c>
      <c r="E235" s="6" t="s">
        <v>9</v>
      </c>
      <c r="F235" s="6" t="str">
        <f>"王淅"</f>
        <v>王淅</v>
      </c>
      <c r="G235" s="6" t="str">
        <f t="shared" si="58"/>
        <v>男</v>
      </c>
    </row>
    <row r="236" customHeight="1" spans="1:7">
      <c r="A236" s="6">
        <v>234</v>
      </c>
      <c r="B236" s="6" t="str">
        <f>"72072024112721032474749"</f>
        <v>72072024112721032474749</v>
      </c>
      <c r="C236" s="6" t="str">
        <f t="shared" si="49"/>
        <v>0101</v>
      </c>
      <c r="D236" s="6" t="s">
        <v>8</v>
      </c>
      <c r="E236" s="6" t="s">
        <v>9</v>
      </c>
      <c r="F236" s="6" t="str">
        <f>"符鲁娜"</f>
        <v>符鲁娜</v>
      </c>
      <c r="G236" s="6" t="str">
        <f t="shared" si="59"/>
        <v>女</v>
      </c>
    </row>
    <row r="237" customHeight="1" spans="1:7">
      <c r="A237" s="6">
        <v>235</v>
      </c>
      <c r="B237" s="6" t="str">
        <f>"72072024112815425278184"</f>
        <v>72072024112815425278184</v>
      </c>
      <c r="C237" s="6" t="str">
        <f t="shared" si="49"/>
        <v>0101</v>
      </c>
      <c r="D237" s="6" t="s">
        <v>8</v>
      </c>
      <c r="E237" s="6" t="s">
        <v>9</v>
      </c>
      <c r="F237" s="6" t="str">
        <f>"邢孔秋"</f>
        <v>邢孔秋</v>
      </c>
      <c r="G237" s="6" t="str">
        <f t="shared" si="59"/>
        <v>女</v>
      </c>
    </row>
    <row r="238" customHeight="1" spans="1:7">
      <c r="A238" s="6">
        <v>236</v>
      </c>
      <c r="B238" s="6" t="str">
        <f>"72072024112821332380828"</f>
        <v>72072024112821332380828</v>
      </c>
      <c r="C238" s="6" t="str">
        <f t="shared" si="49"/>
        <v>0101</v>
      </c>
      <c r="D238" s="6" t="s">
        <v>8</v>
      </c>
      <c r="E238" s="6" t="s">
        <v>9</v>
      </c>
      <c r="F238" s="6" t="str">
        <f>"杨井花"</f>
        <v>杨井花</v>
      </c>
      <c r="G238" s="6" t="str">
        <f t="shared" si="59"/>
        <v>女</v>
      </c>
    </row>
    <row r="239" customHeight="1" spans="1:7">
      <c r="A239" s="6">
        <v>237</v>
      </c>
      <c r="B239" s="6" t="str">
        <f>"72072024112808140375476"</f>
        <v>72072024112808140375476</v>
      </c>
      <c r="C239" s="6" t="str">
        <f t="shared" si="49"/>
        <v>0101</v>
      </c>
      <c r="D239" s="6" t="s">
        <v>8</v>
      </c>
      <c r="E239" s="6" t="s">
        <v>9</v>
      </c>
      <c r="F239" s="6" t="str">
        <f>"韦镇"</f>
        <v>韦镇</v>
      </c>
      <c r="G239" s="6" t="str">
        <f>"男"</f>
        <v>男</v>
      </c>
    </row>
    <row r="240" customHeight="1" spans="1:7">
      <c r="A240" s="6">
        <v>238</v>
      </c>
      <c r="B240" s="6" t="str">
        <f>"72072024112821271880768"</f>
        <v>72072024112821271880768</v>
      </c>
      <c r="C240" s="6" t="str">
        <f t="shared" si="49"/>
        <v>0101</v>
      </c>
      <c r="D240" s="6" t="s">
        <v>8</v>
      </c>
      <c r="E240" s="6" t="s">
        <v>9</v>
      </c>
      <c r="F240" s="6" t="str">
        <f>"陈海霞"</f>
        <v>陈海霞</v>
      </c>
      <c r="G240" s="6" t="str">
        <f t="shared" ref="G240:G244" si="60">"女"</f>
        <v>女</v>
      </c>
    </row>
    <row r="241" customHeight="1" spans="1:7">
      <c r="A241" s="6">
        <v>239</v>
      </c>
      <c r="B241" s="6" t="str">
        <f>"72072024112817050678845"</f>
        <v>72072024112817050678845</v>
      </c>
      <c r="C241" s="6" t="str">
        <f t="shared" si="49"/>
        <v>0101</v>
      </c>
      <c r="D241" s="6" t="s">
        <v>8</v>
      </c>
      <c r="E241" s="6" t="s">
        <v>9</v>
      </c>
      <c r="F241" s="6" t="str">
        <f>"陈亚卉"</f>
        <v>陈亚卉</v>
      </c>
      <c r="G241" s="6" t="str">
        <f t="shared" si="60"/>
        <v>女</v>
      </c>
    </row>
    <row r="242" customHeight="1" spans="1:7">
      <c r="A242" s="6">
        <v>240</v>
      </c>
      <c r="B242" s="6" t="str">
        <f>"72072024112721193374811"</f>
        <v>72072024112721193374811</v>
      </c>
      <c r="C242" s="6" t="str">
        <f t="shared" si="49"/>
        <v>0101</v>
      </c>
      <c r="D242" s="6" t="s">
        <v>8</v>
      </c>
      <c r="E242" s="6" t="s">
        <v>9</v>
      </c>
      <c r="F242" s="6" t="str">
        <f>"梁伟佳"</f>
        <v>梁伟佳</v>
      </c>
      <c r="G242" s="6" t="str">
        <f t="shared" ref="G242:G246" si="61">"男"</f>
        <v>男</v>
      </c>
    </row>
    <row r="243" customHeight="1" spans="1:7">
      <c r="A243" s="6">
        <v>241</v>
      </c>
      <c r="B243" s="6" t="str">
        <f>"72072024112822083981138"</f>
        <v>72072024112822083981138</v>
      </c>
      <c r="C243" s="6" t="str">
        <f t="shared" si="49"/>
        <v>0101</v>
      </c>
      <c r="D243" s="6" t="s">
        <v>8</v>
      </c>
      <c r="E243" s="6" t="s">
        <v>9</v>
      </c>
      <c r="F243" s="6" t="str">
        <f>"谢春苗"</f>
        <v>谢春苗</v>
      </c>
      <c r="G243" s="6" t="str">
        <f t="shared" si="60"/>
        <v>女</v>
      </c>
    </row>
    <row r="244" customHeight="1" spans="1:7">
      <c r="A244" s="6">
        <v>242</v>
      </c>
      <c r="B244" s="6" t="str">
        <f>"72072024112821153380664"</f>
        <v>72072024112821153380664</v>
      </c>
      <c r="C244" s="6" t="str">
        <f t="shared" si="49"/>
        <v>0101</v>
      </c>
      <c r="D244" s="6" t="s">
        <v>8</v>
      </c>
      <c r="E244" s="6" t="s">
        <v>9</v>
      </c>
      <c r="F244" s="6" t="str">
        <f>"陈艳艳"</f>
        <v>陈艳艳</v>
      </c>
      <c r="G244" s="6" t="str">
        <f t="shared" si="60"/>
        <v>女</v>
      </c>
    </row>
    <row r="245" customHeight="1" spans="1:7">
      <c r="A245" s="6">
        <v>243</v>
      </c>
      <c r="B245" s="6" t="str">
        <f>"72072024112821572281028"</f>
        <v>72072024112821572281028</v>
      </c>
      <c r="C245" s="6" t="str">
        <f t="shared" si="49"/>
        <v>0101</v>
      </c>
      <c r="D245" s="6" t="s">
        <v>8</v>
      </c>
      <c r="E245" s="6" t="s">
        <v>9</v>
      </c>
      <c r="F245" s="6" t="str">
        <f>"陈柚宁"</f>
        <v>陈柚宁</v>
      </c>
      <c r="G245" s="6" t="str">
        <f t="shared" si="61"/>
        <v>男</v>
      </c>
    </row>
    <row r="246" customHeight="1" spans="1:7">
      <c r="A246" s="6">
        <v>244</v>
      </c>
      <c r="B246" s="6" t="str">
        <f>"72072024112820595080534"</f>
        <v>72072024112820595080534</v>
      </c>
      <c r="C246" s="6" t="str">
        <f t="shared" si="49"/>
        <v>0101</v>
      </c>
      <c r="D246" s="6" t="s">
        <v>8</v>
      </c>
      <c r="E246" s="6" t="s">
        <v>9</v>
      </c>
      <c r="F246" s="6" t="str">
        <f>"黎培鑫"</f>
        <v>黎培鑫</v>
      </c>
      <c r="G246" s="6" t="str">
        <f t="shared" si="61"/>
        <v>男</v>
      </c>
    </row>
    <row r="247" customHeight="1" spans="1:7">
      <c r="A247" s="6">
        <v>245</v>
      </c>
      <c r="B247" s="6" t="str">
        <f>"72072024112715070373287"</f>
        <v>72072024112715070373287</v>
      </c>
      <c r="C247" s="6" t="str">
        <f t="shared" si="49"/>
        <v>0101</v>
      </c>
      <c r="D247" s="6" t="s">
        <v>8</v>
      </c>
      <c r="E247" s="6" t="s">
        <v>9</v>
      </c>
      <c r="F247" s="6" t="str">
        <f>"罗妃妃"</f>
        <v>罗妃妃</v>
      </c>
      <c r="G247" s="6" t="str">
        <f t="shared" ref="G247:G254" si="62">"女"</f>
        <v>女</v>
      </c>
    </row>
    <row r="248" customHeight="1" spans="1:7">
      <c r="A248" s="6">
        <v>246</v>
      </c>
      <c r="B248" s="6" t="str">
        <f>"72072024112821571081025"</f>
        <v>72072024112821571081025</v>
      </c>
      <c r="C248" s="6" t="str">
        <f t="shared" si="49"/>
        <v>0101</v>
      </c>
      <c r="D248" s="6" t="s">
        <v>8</v>
      </c>
      <c r="E248" s="6" t="s">
        <v>9</v>
      </c>
      <c r="F248" s="6" t="str">
        <f>"陈凯"</f>
        <v>陈凯</v>
      </c>
      <c r="G248" s="6" t="str">
        <f>"男"</f>
        <v>男</v>
      </c>
    </row>
    <row r="249" customHeight="1" spans="1:7">
      <c r="A249" s="6">
        <v>247</v>
      </c>
      <c r="B249" s="6" t="str">
        <f>"72072024112715082273297"</f>
        <v>72072024112715082273297</v>
      </c>
      <c r="C249" s="6" t="str">
        <f t="shared" si="49"/>
        <v>0101</v>
      </c>
      <c r="D249" s="6" t="s">
        <v>8</v>
      </c>
      <c r="E249" s="6" t="s">
        <v>9</v>
      </c>
      <c r="F249" s="6" t="str">
        <f>"唐思"</f>
        <v>唐思</v>
      </c>
      <c r="G249" s="6" t="str">
        <f t="shared" si="62"/>
        <v>女</v>
      </c>
    </row>
    <row r="250" customHeight="1" spans="1:7">
      <c r="A250" s="6">
        <v>248</v>
      </c>
      <c r="B250" s="6" t="str">
        <f>"72072024112823414581755"</f>
        <v>72072024112823414581755</v>
      </c>
      <c r="C250" s="6" t="str">
        <f t="shared" si="49"/>
        <v>0101</v>
      </c>
      <c r="D250" s="6" t="s">
        <v>8</v>
      </c>
      <c r="E250" s="6" t="s">
        <v>9</v>
      </c>
      <c r="F250" s="6" t="str">
        <f>"文仕松"</f>
        <v>文仕松</v>
      </c>
      <c r="G250" s="6" t="str">
        <f>"男"</f>
        <v>男</v>
      </c>
    </row>
    <row r="251" customHeight="1" spans="1:7">
      <c r="A251" s="6">
        <v>249</v>
      </c>
      <c r="B251" s="6" t="str">
        <f>"72072024112823145981618"</f>
        <v>72072024112823145981618</v>
      </c>
      <c r="C251" s="6" t="str">
        <f t="shared" si="49"/>
        <v>0101</v>
      </c>
      <c r="D251" s="6" t="s">
        <v>8</v>
      </c>
      <c r="E251" s="6" t="s">
        <v>9</v>
      </c>
      <c r="F251" s="6" t="str">
        <f>"苏宣丹"</f>
        <v>苏宣丹</v>
      </c>
      <c r="G251" s="6" t="str">
        <f t="shared" si="62"/>
        <v>女</v>
      </c>
    </row>
    <row r="252" customHeight="1" spans="1:7">
      <c r="A252" s="6">
        <v>250</v>
      </c>
      <c r="B252" s="6" t="str">
        <f>"72072024112823491481789"</f>
        <v>72072024112823491481789</v>
      </c>
      <c r="C252" s="6" t="str">
        <f t="shared" si="49"/>
        <v>0101</v>
      </c>
      <c r="D252" s="6" t="s">
        <v>8</v>
      </c>
      <c r="E252" s="6" t="s">
        <v>9</v>
      </c>
      <c r="F252" s="6" t="str">
        <f>"赵玥"</f>
        <v>赵玥</v>
      </c>
      <c r="G252" s="6" t="str">
        <f t="shared" si="62"/>
        <v>女</v>
      </c>
    </row>
    <row r="253" customHeight="1" spans="1:7">
      <c r="A253" s="6">
        <v>251</v>
      </c>
      <c r="B253" s="6" t="str">
        <f>"72072024112823442081769"</f>
        <v>72072024112823442081769</v>
      </c>
      <c r="C253" s="6" t="str">
        <f t="shared" si="49"/>
        <v>0101</v>
      </c>
      <c r="D253" s="6" t="s">
        <v>8</v>
      </c>
      <c r="E253" s="6" t="s">
        <v>9</v>
      </c>
      <c r="F253" s="6" t="str">
        <f>"林青"</f>
        <v>林青</v>
      </c>
      <c r="G253" s="6" t="str">
        <f t="shared" si="62"/>
        <v>女</v>
      </c>
    </row>
    <row r="254" customHeight="1" spans="1:7">
      <c r="A254" s="6">
        <v>252</v>
      </c>
      <c r="B254" s="6" t="str">
        <f>"72072024112900413981944"</f>
        <v>72072024112900413981944</v>
      </c>
      <c r="C254" s="6" t="str">
        <f t="shared" si="49"/>
        <v>0101</v>
      </c>
      <c r="D254" s="6" t="s">
        <v>8</v>
      </c>
      <c r="E254" s="6" t="s">
        <v>9</v>
      </c>
      <c r="F254" s="6" t="str">
        <f>"黄麟雅"</f>
        <v>黄麟雅</v>
      </c>
      <c r="G254" s="6" t="str">
        <f t="shared" si="62"/>
        <v>女</v>
      </c>
    </row>
    <row r="255" customHeight="1" spans="1:7">
      <c r="A255" s="6">
        <v>253</v>
      </c>
      <c r="B255" s="6" t="str">
        <f>"72072024112901430882004"</f>
        <v>72072024112901430882004</v>
      </c>
      <c r="C255" s="6" t="str">
        <f t="shared" si="49"/>
        <v>0101</v>
      </c>
      <c r="D255" s="6" t="s">
        <v>8</v>
      </c>
      <c r="E255" s="6" t="s">
        <v>9</v>
      </c>
      <c r="F255" s="6" t="str">
        <f>"张昌列"</f>
        <v>张昌列</v>
      </c>
      <c r="G255" s="6" t="str">
        <f>"男"</f>
        <v>男</v>
      </c>
    </row>
    <row r="256" customHeight="1" spans="1:7">
      <c r="A256" s="6">
        <v>254</v>
      </c>
      <c r="B256" s="6" t="str">
        <f>"72072024112904364082046"</f>
        <v>72072024112904364082046</v>
      </c>
      <c r="C256" s="6" t="str">
        <f t="shared" si="49"/>
        <v>0101</v>
      </c>
      <c r="D256" s="6" t="s">
        <v>8</v>
      </c>
      <c r="E256" s="6" t="s">
        <v>9</v>
      </c>
      <c r="F256" s="6" t="str">
        <f>"钟晓丽"</f>
        <v>钟晓丽</v>
      </c>
      <c r="G256" s="6" t="str">
        <f t="shared" ref="G256:G266" si="63">"女"</f>
        <v>女</v>
      </c>
    </row>
    <row r="257" customHeight="1" spans="1:7">
      <c r="A257" s="6">
        <v>255</v>
      </c>
      <c r="B257" s="6" t="str">
        <f>"72072024112907394982096"</f>
        <v>72072024112907394982096</v>
      </c>
      <c r="C257" s="6" t="str">
        <f t="shared" si="49"/>
        <v>0101</v>
      </c>
      <c r="D257" s="6" t="s">
        <v>8</v>
      </c>
      <c r="E257" s="6" t="s">
        <v>9</v>
      </c>
      <c r="F257" s="6" t="str">
        <f>"陈柚灵"</f>
        <v>陈柚灵</v>
      </c>
      <c r="G257" s="6" t="str">
        <f>"男"</f>
        <v>男</v>
      </c>
    </row>
    <row r="258" customHeight="1" spans="1:7">
      <c r="A258" s="6">
        <v>256</v>
      </c>
      <c r="B258" s="6" t="str">
        <f>"72072024112907081182076"</f>
        <v>72072024112907081182076</v>
      </c>
      <c r="C258" s="6" t="str">
        <f t="shared" si="49"/>
        <v>0101</v>
      </c>
      <c r="D258" s="6" t="s">
        <v>8</v>
      </c>
      <c r="E258" s="6" t="s">
        <v>9</v>
      </c>
      <c r="F258" s="6" t="str">
        <f>"聂瑶"</f>
        <v>聂瑶</v>
      </c>
      <c r="G258" s="6" t="str">
        <f t="shared" si="63"/>
        <v>女</v>
      </c>
    </row>
    <row r="259" customHeight="1" spans="1:7">
      <c r="A259" s="6">
        <v>257</v>
      </c>
      <c r="B259" s="6" t="str">
        <f>"72072024112819381279860"</f>
        <v>72072024112819381279860</v>
      </c>
      <c r="C259" s="6" t="str">
        <f t="shared" ref="C259:C287" si="64">"0101"</f>
        <v>0101</v>
      </c>
      <c r="D259" s="6" t="s">
        <v>8</v>
      </c>
      <c r="E259" s="6" t="s">
        <v>9</v>
      </c>
      <c r="F259" s="6" t="str">
        <f>"代晓明"</f>
        <v>代晓明</v>
      </c>
      <c r="G259" s="6" t="str">
        <f t="shared" si="63"/>
        <v>女</v>
      </c>
    </row>
    <row r="260" customHeight="1" spans="1:7">
      <c r="A260" s="6">
        <v>258</v>
      </c>
      <c r="B260" s="6" t="str">
        <f>"72072024112820434280403"</f>
        <v>72072024112820434280403</v>
      </c>
      <c r="C260" s="6" t="str">
        <f t="shared" si="64"/>
        <v>0101</v>
      </c>
      <c r="D260" s="6" t="s">
        <v>8</v>
      </c>
      <c r="E260" s="6" t="s">
        <v>9</v>
      </c>
      <c r="F260" s="6" t="str">
        <f>"麦莹莹"</f>
        <v>麦莹莹</v>
      </c>
      <c r="G260" s="6" t="str">
        <f t="shared" si="63"/>
        <v>女</v>
      </c>
    </row>
    <row r="261" customHeight="1" spans="1:7">
      <c r="A261" s="6">
        <v>259</v>
      </c>
      <c r="B261" s="6" t="str">
        <f>"72072024112810161576235"</f>
        <v>72072024112810161576235</v>
      </c>
      <c r="C261" s="6" t="str">
        <f t="shared" si="64"/>
        <v>0101</v>
      </c>
      <c r="D261" s="6" t="s">
        <v>8</v>
      </c>
      <c r="E261" s="6" t="s">
        <v>9</v>
      </c>
      <c r="F261" s="6" t="str">
        <f>"甘美琪"</f>
        <v>甘美琪</v>
      </c>
      <c r="G261" s="6" t="str">
        <f t="shared" si="63"/>
        <v>女</v>
      </c>
    </row>
    <row r="262" customHeight="1" spans="1:7">
      <c r="A262" s="6">
        <v>260</v>
      </c>
      <c r="B262" s="6" t="str">
        <f>"72072024112313441355469"</f>
        <v>72072024112313441355469</v>
      </c>
      <c r="C262" s="6" t="str">
        <f t="shared" si="64"/>
        <v>0101</v>
      </c>
      <c r="D262" s="6" t="s">
        <v>8</v>
      </c>
      <c r="E262" s="6" t="s">
        <v>9</v>
      </c>
      <c r="F262" s="6" t="str">
        <f>"孙毅"</f>
        <v>孙毅</v>
      </c>
      <c r="G262" s="6" t="str">
        <f t="shared" si="63"/>
        <v>女</v>
      </c>
    </row>
    <row r="263" customHeight="1" spans="1:7">
      <c r="A263" s="6">
        <v>261</v>
      </c>
      <c r="B263" s="6" t="str">
        <f>"72072024112415135757708"</f>
        <v>72072024112415135757708</v>
      </c>
      <c r="C263" s="6" t="str">
        <f t="shared" si="64"/>
        <v>0101</v>
      </c>
      <c r="D263" s="6" t="s">
        <v>8</v>
      </c>
      <c r="E263" s="6" t="s">
        <v>9</v>
      </c>
      <c r="F263" s="6" t="str">
        <f>"吴芝瑾"</f>
        <v>吴芝瑾</v>
      </c>
      <c r="G263" s="6" t="str">
        <f t="shared" si="63"/>
        <v>女</v>
      </c>
    </row>
    <row r="264" customHeight="1" spans="1:7">
      <c r="A264" s="6">
        <v>262</v>
      </c>
      <c r="B264" s="6" t="str">
        <f>"72072024112821315980815"</f>
        <v>72072024112821315980815</v>
      </c>
      <c r="C264" s="6" t="str">
        <f t="shared" si="64"/>
        <v>0101</v>
      </c>
      <c r="D264" s="6" t="s">
        <v>8</v>
      </c>
      <c r="E264" s="6" t="s">
        <v>9</v>
      </c>
      <c r="F264" s="6" t="str">
        <f>"黎培月"</f>
        <v>黎培月</v>
      </c>
      <c r="G264" s="6" t="str">
        <f t="shared" si="63"/>
        <v>女</v>
      </c>
    </row>
    <row r="265" customHeight="1" spans="1:7">
      <c r="A265" s="6">
        <v>263</v>
      </c>
      <c r="B265" s="6" t="str">
        <f>"72072024112909335483215"</f>
        <v>72072024112909335483215</v>
      </c>
      <c r="C265" s="6" t="str">
        <f t="shared" si="64"/>
        <v>0101</v>
      </c>
      <c r="D265" s="6" t="s">
        <v>8</v>
      </c>
      <c r="E265" s="6" t="s">
        <v>9</v>
      </c>
      <c r="F265" s="6" t="str">
        <f>"刘晓君"</f>
        <v>刘晓君</v>
      </c>
      <c r="G265" s="6" t="str">
        <f t="shared" si="63"/>
        <v>女</v>
      </c>
    </row>
    <row r="266" customHeight="1" spans="1:7">
      <c r="A266" s="6">
        <v>264</v>
      </c>
      <c r="B266" s="6" t="str">
        <f>"72072024112909480883497"</f>
        <v>72072024112909480883497</v>
      </c>
      <c r="C266" s="6" t="str">
        <f t="shared" si="64"/>
        <v>0101</v>
      </c>
      <c r="D266" s="6" t="s">
        <v>8</v>
      </c>
      <c r="E266" s="6" t="s">
        <v>9</v>
      </c>
      <c r="F266" s="6" t="str">
        <f>"黎天妙"</f>
        <v>黎天妙</v>
      </c>
      <c r="G266" s="6" t="str">
        <f t="shared" si="63"/>
        <v>女</v>
      </c>
    </row>
    <row r="267" customHeight="1" spans="1:7">
      <c r="A267" s="6">
        <v>265</v>
      </c>
      <c r="B267" s="6" t="str">
        <f>"72072024112809290675884"</f>
        <v>72072024112809290675884</v>
      </c>
      <c r="C267" s="6" t="str">
        <f t="shared" si="64"/>
        <v>0101</v>
      </c>
      <c r="D267" s="6" t="s">
        <v>8</v>
      </c>
      <c r="E267" s="6" t="s">
        <v>9</v>
      </c>
      <c r="F267" s="6" t="str">
        <f>"谢文"</f>
        <v>谢文</v>
      </c>
      <c r="G267" s="6" t="str">
        <f t="shared" ref="G267:G270" si="65">"男"</f>
        <v>男</v>
      </c>
    </row>
    <row r="268" customHeight="1" spans="1:7">
      <c r="A268" s="6">
        <v>266</v>
      </c>
      <c r="B268" s="6" t="str">
        <f>"72072024112819033179577"</f>
        <v>72072024112819033179577</v>
      </c>
      <c r="C268" s="6" t="str">
        <f t="shared" si="64"/>
        <v>0101</v>
      </c>
      <c r="D268" s="6" t="s">
        <v>8</v>
      </c>
      <c r="E268" s="6" t="s">
        <v>9</v>
      </c>
      <c r="F268" s="6" t="str">
        <f>"黎虹"</f>
        <v>黎虹</v>
      </c>
      <c r="G268" s="6" t="str">
        <f t="shared" ref="G268:G272" si="66">"女"</f>
        <v>女</v>
      </c>
    </row>
    <row r="269" customHeight="1" spans="1:7">
      <c r="A269" s="6">
        <v>267</v>
      </c>
      <c r="B269" s="6" t="str">
        <f>"72072024112909542883603"</f>
        <v>72072024112909542883603</v>
      </c>
      <c r="C269" s="6" t="str">
        <f t="shared" si="64"/>
        <v>0101</v>
      </c>
      <c r="D269" s="6" t="s">
        <v>8</v>
      </c>
      <c r="E269" s="6" t="s">
        <v>9</v>
      </c>
      <c r="F269" s="6" t="str">
        <f>"林吉鹏"</f>
        <v>林吉鹏</v>
      </c>
      <c r="G269" s="6" t="str">
        <f t="shared" si="65"/>
        <v>男</v>
      </c>
    </row>
    <row r="270" customHeight="1" spans="1:7">
      <c r="A270" s="6">
        <v>268</v>
      </c>
      <c r="B270" s="6" t="str">
        <f>"72072024112809272175869"</f>
        <v>72072024112809272175869</v>
      </c>
      <c r="C270" s="6" t="str">
        <f t="shared" si="64"/>
        <v>0101</v>
      </c>
      <c r="D270" s="6" t="s">
        <v>8</v>
      </c>
      <c r="E270" s="6" t="s">
        <v>9</v>
      </c>
      <c r="F270" s="6" t="str">
        <f>"刘胜祥"</f>
        <v>刘胜祥</v>
      </c>
      <c r="G270" s="6" t="str">
        <f t="shared" si="65"/>
        <v>男</v>
      </c>
    </row>
    <row r="271" customHeight="1" spans="1:7">
      <c r="A271" s="6">
        <v>269</v>
      </c>
      <c r="B271" s="6" t="str">
        <f>"72072024112818332179391"</f>
        <v>72072024112818332179391</v>
      </c>
      <c r="C271" s="6" t="str">
        <f t="shared" si="64"/>
        <v>0101</v>
      </c>
      <c r="D271" s="6" t="s">
        <v>8</v>
      </c>
      <c r="E271" s="6" t="s">
        <v>9</v>
      </c>
      <c r="F271" s="6" t="str">
        <f>"蔡召乐"</f>
        <v>蔡召乐</v>
      </c>
      <c r="G271" s="6" t="str">
        <f t="shared" si="66"/>
        <v>女</v>
      </c>
    </row>
    <row r="272" customHeight="1" spans="1:7">
      <c r="A272" s="6">
        <v>270</v>
      </c>
      <c r="B272" s="6" t="str">
        <f>"72072024112211051252748"</f>
        <v>72072024112211051252748</v>
      </c>
      <c r="C272" s="6" t="str">
        <f t="shared" si="64"/>
        <v>0101</v>
      </c>
      <c r="D272" s="6" t="s">
        <v>8</v>
      </c>
      <c r="E272" s="6" t="s">
        <v>9</v>
      </c>
      <c r="F272" s="6" t="str">
        <f>"刘有华"</f>
        <v>刘有华</v>
      </c>
      <c r="G272" s="6" t="str">
        <f t="shared" si="66"/>
        <v>女</v>
      </c>
    </row>
    <row r="273" customHeight="1" spans="1:7">
      <c r="A273" s="6">
        <v>271</v>
      </c>
      <c r="B273" s="6" t="str">
        <f>"72072024112909563283634"</f>
        <v>72072024112909563283634</v>
      </c>
      <c r="C273" s="6" t="str">
        <f t="shared" si="64"/>
        <v>0101</v>
      </c>
      <c r="D273" s="6" t="s">
        <v>8</v>
      </c>
      <c r="E273" s="6" t="s">
        <v>9</v>
      </c>
      <c r="F273" s="6" t="str">
        <f>"吴能"</f>
        <v>吴能</v>
      </c>
      <c r="G273" s="6" t="str">
        <f t="shared" ref="G273:G276" si="67">"男"</f>
        <v>男</v>
      </c>
    </row>
    <row r="274" customHeight="1" spans="1:7">
      <c r="A274" s="6">
        <v>272</v>
      </c>
      <c r="B274" s="6" t="str">
        <f>"72072024112617060270149"</f>
        <v>72072024112617060270149</v>
      </c>
      <c r="C274" s="6" t="str">
        <f t="shared" si="64"/>
        <v>0101</v>
      </c>
      <c r="D274" s="6" t="s">
        <v>8</v>
      </c>
      <c r="E274" s="6" t="s">
        <v>9</v>
      </c>
      <c r="F274" s="6" t="str">
        <f>"谢惠林"</f>
        <v>谢惠林</v>
      </c>
      <c r="G274" s="6" t="str">
        <f t="shared" si="67"/>
        <v>男</v>
      </c>
    </row>
    <row r="275" customHeight="1" spans="1:7">
      <c r="A275" s="6">
        <v>273</v>
      </c>
      <c r="B275" s="6" t="str">
        <f>"72072024112910594984642"</f>
        <v>72072024112910594984642</v>
      </c>
      <c r="C275" s="6" t="str">
        <f t="shared" si="64"/>
        <v>0101</v>
      </c>
      <c r="D275" s="6" t="s">
        <v>8</v>
      </c>
      <c r="E275" s="6" t="s">
        <v>9</v>
      </c>
      <c r="F275" s="6" t="str">
        <f>"王宇翔"</f>
        <v>王宇翔</v>
      </c>
      <c r="G275" s="6" t="str">
        <f t="shared" ref="G275:G278" si="68">"女"</f>
        <v>女</v>
      </c>
    </row>
    <row r="276" customHeight="1" spans="1:7">
      <c r="A276" s="6">
        <v>274</v>
      </c>
      <c r="B276" s="6" t="str">
        <f>"72072024112908374882339"</f>
        <v>72072024112908374882339</v>
      </c>
      <c r="C276" s="6" t="str">
        <f t="shared" si="64"/>
        <v>0101</v>
      </c>
      <c r="D276" s="6" t="s">
        <v>8</v>
      </c>
      <c r="E276" s="6" t="s">
        <v>9</v>
      </c>
      <c r="F276" s="6" t="str">
        <f>"符平"</f>
        <v>符平</v>
      </c>
      <c r="G276" s="6" t="str">
        <f t="shared" si="67"/>
        <v>男</v>
      </c>
    </row>
    <row r="277" customHeight="1" spans="1:7">
      <c r="A277" s="6">
        <v>275</v>
      </c>
      <c r="B277" s="6" t="str">
        <f>"72072024112910522684528"</f>
        <v>72072024112910522684528</v>
      </c>
      <c r="C277" s="6" t="str">
        <f t="shared" si="64"/>
        <v>0101</v>
      </c>
      <c r="D277" s="6" t="s">
        <v>8</v>
      </c>
      <c r="E277" s="6" t="s">
        <v>9</v>
      </c>
      <c r="F277" s="6" t="str">
        <f>"李慧慧"</f>
        <v>李慧慧</v>
      </c>
      <c r="G277" s="6" t="str">
        <f t="shared" si="68"/>
        <v>女</v>
      </c>
    </row>
    <row r="278" customHeight="1" spans="1:7">
      <c r="A278" s="6">
        <v>276</v>
      </c>
      <c r="B278" s="6" t="str">
        <f>"72072024112911201385002"</f>
        <v>72072024112911201385002</v>
      </c>
      <c r="C278" s="6" t="str">
        <f t="shared" si="64"/>
        <v>0101</v>
      </c>
      <c r="D278" s="6" t="s">
        <v>8</v>
      </c>
      <c r="E278" s="6" t="s">
        <v>9</v>
      </c>
      <c r="F278" s="6" t="str">
        <f>"孙秀英"</f>
        <v>孙秀英</v>
      </c>
      <c r="G278" s="6" t="str">
        <f t="shared" si="68"/>
        <v>女</v>
      </c>
    </row>
    <row r="279" customHeight="1" spans="1:7">
      <c r="A279" s="6">
        <v>277</v>
      </c>
      <c r="B279" s="6" t="str">
        <f>"72072024112822453081457"</f>
        <v>72072024112822453081457</v>
      </c>
      <c r="C279" s="6" t="str">
        <f t="shared" si="64"/>
        <v>0101</v>
      </c>
      <c r="D279" s="6" t="s">
        <v>8</v>
      </c>
      <c r="E279" s="6" t="s">
        <v>9</v>
      </c>
      <c r="F279" s="6" t="str">
        <f>"陈国胤"</f>
        <v>陈国胤</v>
      </c>
      <c r="G279" s="6" t="str">
        <f>"男"</f>
        <v>男</v>
      </c>
    </row>
    <row r="280" customHeight="1" spans="1:7">
      <c r="A280" s="6">
        <v>278</v>
      </c>
      <c r="B280" s="6" t="str">
        <f>"72072024112910150983942"</f>
        <v>72072024112910150983942</v>
      </c>
      <c r="C280" s="6" t="str">
        <f t="shared" si="64"/>
        <v>0101</v>
      </c>
      <c r="D280" s="6" t="s">
        <v>8</v>
      </c>
      <c r="E280" s="6" t="s">
        <v>9</v>
      </c>
      <c r="F280" s="6" t="str">
        <f>"林恩希"</f>
        <v>林恩希</v>
      </c>
      <c r="G280" s="6" t="str">
        <f t="shared" ref="G280:G287" si="69">"女"</f>
        <v>女</v>
      </c>
    </row>
    <row r="281" customHeight="1" spans="1:7">
      <c r="A281" s="6">
        <v>279</v>
      </c>
      <c r="B281" s="6" t="str">
        <f>"72072024112813412877354"</f>
        <v>72072024112813412877354</v>
      </c>
      <c r="C281" s="6" t="str">
        <f t="shared" si="64"/>
        <v>0101</v>
      </c>
      <c r="D281" s="6" t="s">
        <v>8</v>
      </c>
      <c r="E281" s="6" t="s">
        <v>9</v>
      </c>
      <c r="F281" s="6" t="str">
        <f>"肖宁"</f>
        <v>肖宁</v>
      </c>
      <c r="G281" s="6" t="str">
        <f t="shared" si="69"/>
        <v>女</v>
      </c>
    </row>
    <row r="282" customHeight="1" spans="1:7">
      <c r="A282" s="6">
        <v>280</v>
      </c>
      <c r="B282" s="6" t="str">
        <f>"72072024112911110284853"</f>
        <v>72072024112911110284853</v>
      </c>
      <c r="C282" s="6" t="str">
        <f t="shared" si="64"/>
        <v>0101</v>
      </c>
      <c r="D282" s="6" t="s">
        <v>8</v>
      </c>
      <c r="E282" s="6" t="s">
        <v>9</v>
      </c>
      <c r="F282" s="6" t="str">
        <f>"邓兴秀"</f>
        <v>邓兴秀</v>
      </c>
      <c r="G282" s="6" t="str">
        <f t="shared" si="69"/>
        <v>女</v>
      </c>
    </row>
    <row r="283" customHeight="1" spans="1:7">
      <c r="A283" s="6">
        <v>281</v>
      </c>
      <c r="B283" s="6" t="str">
        <f>"72072024112821195680709"</f>
        <v>72072024112821195680709</v>
      </c>
      <c r="C283" s="6" t="str">
        <f t="shared" si="64"/>
        <v>0101</v>
      </c>
      <c r="D283" s="6" t="s">
        <v>8</v>
      </c>
      <c r="E283" s="6" t="s">
        <v>9</v>
      </c>
      <c r="F283" s="6" t="str">
        <f>"王欣欣"</f>
        <v>王欣欣</v>
      </c>
      <c r="G283" s="6" t="str">
        <f t="shared" si="69"/>
        <v>女</v>
      </c>
    </row>
    <row r="284" customHeight="1" spans="1:7">
      <c r="A284" s="6">
        <v>282</v>
      </c>
      <c r="B284" s="6" t="str">
        <f>"72072024112909093982736"</f>
        <v>72072024112909093982736</v>
      </c>
      <c r="C284" s="6" t="str">
        <f t="shared" si="64"/>
        <v>0101</v>
      </c>
      <c r="D284" s="6" t="s">
        <v>8</v>
      </c>
      <c r="E284" s="6" t="s">
        <v>9</v>
      </c>
      <c r="F284" s="6" t="str">
        <f>"毛丽丽"</f>
        <v>毛丽丽</v>
      </c>
      <c r="G284" s="6" t="str">
        <f t="shared" si="69"/>
        <v>女</v>
      </c>
    </row>
    <row r="285" customHeight="1" spans="1:7">
      <c r="A285" s="6">
        <v>283</v>
      </c>
      <c r="B285" s="6" t="str">
        <f>"72072024112910373084322"</f>
        <v>72072024112910373084322</v>
      </c>
      <c r="C285" s="6" t="str">
        <f t="shared" si="64"/>
        <v>0101</v>
      </c>
      <c r="D285" s="6" t="s">
        <v>8</v>
      </c>
      <c r="E285" s="6" t="s">
        <v>9</v>
      </c>
      <c r="F285" s="6" t="str">
        <f>"林亚翁"</f>
        <v>林亚翁</v>
      </c>
      <c r="G285" s="6" t="str">
        <f t="shared" si="69"/>
        <v>女</v>
      </c>
    </row>
    <row r="286" customHeight="1" spans="1:7">
      <c r="A286" s="6">
        <v>284</v>
      </c>
      <c r="B286" s="6" t="str">
        <f>"72072024112815530078267"</f>
        <v>72072024112815530078267</v>
      </c>
      <c r="C286" s="6" t="str">
        <f t="shared" si="64"/>
        <v>0101</v>
      </c>
      <c r="D286" s="6" t="s">
        <v>8</v>
      </c>
      <c r="E286" s="6" t="s">
        <v>9</v>
      </c>
      <c r="F286" s="6" t="str">
        <f>"陈小凤"</f>
        <v>陈小凤</v>
      </c>
      <c r="G286" s="6" t="str">
        <f t="shared" si="69"/>
        <v>女</v>
      </c>
    </row>
    <row r="287" customHeight="1" spans="1:7">
      <c r="A287" s="6">
        <v>285</v>
      </c>
      <c r="B287" s="6" t="str">
        <f>"72072024112911260785081"</f>
        <v>72072024112911260785081</v>
      </c>
      <c r="C287" s="6" t="str">
        <f t="shared" si="64"/>
        <v>0101</v>
      </c>
      <c r="D287" s="6" t="s">
        <v>8</v>
      </c>
      <c r="E287" s="6" t="s">
        <v>9</v>
      </c>
      <c r="F287" s="6" t="str">
        <f>"孔慧苧"</f>
        <v>孔慧苧</v>
      </c>
      <c r="G287" s="6" t="str">
        <f t="shared" si="69"/>
        <v>女</v>
      </c>
    </row>
    <row r="288" customHeight="1" spans="1:7">
      <c r="A288" s="6">
        <v>286</v>
      </c>
      <c r="B288" s="6" t="str">
        <f>"72072024112211322352832"</f>
        <v>72072024112211322352832</v>
      </c>
      <c r="C288" s="6" t="str">
        <f t="shared" ref="C288:C351" si="70">"0102"</f>
        <v>0102</v>
      </c>
      <c r="D288" s="6" t="s">
        <v>10</v>
      </c>
      <c r="E288" s="6" t="s">
        <v>9</v>
      </c>
      <c r="F288" s="6" t="str">
        <f>"周鸿"</f>
        <v>周鸿</v>
      </c>
      <c r="G288" s="6" t="str">
        <f>"男"</f>
        <v>男</v>
      </c>
    </row>
    <row r="289" customHeight="1" spans="1:7">
      <c r="A289" s="6">
        <v>287</v>
      </c>
      <c r="B289" s="6" t="str">
        <f>"72072024112210075552527"</f>
        <v>72072024112210075552527</v>
      </c>
      <c r="C289" s="6" t="str">
        <f t="shared" si="70"/>
        <v>0102</v>
      </c>
      <c r="D289" s="6" t="s">
        <v>10</v>
      </c>
      <c r="E289" s="6" t="s">
        <v>9</v>
      </c>
      <c r="F289" s="6" t="str">
        <f>"陈玉竹"</f>
        <v>陈玉竹</v>
      </c>
      <c r="G289" s="6" t="str">
        <f t="shared" ref="G289:G293" si="71">"女"</f>
        <v>女</v>
      </c>
    </row>
    <row r="290" customHeight="1" spans="1:7">
      <c r="A290" s="6">
        <v>288</v>
      </c>
      <c r="B290" s="6" t="str">
        <f>"72072024112212192352947"</f>
        <v>72072024112212192352947</v>
      </c>
      <c r="C290" s="6" t="str">
        <f t="shared" si="70"/>
        <v>0102</v>
      </c>
      <c r="D290" s="6" t="s">
        <v>10</v>
      </c>
      <c r="E290" s="6" t="s">
        <v>9</v>
      </c>
      <c r="F290" s="6" t="str">
        <f>"周麟栋"</f>
        <v>周麟栋</v>
      </c>
      <c r="G290" s="6" t="str">
        <f t="shared" ref="G290:G295" si="72">"男"</f>
        <v>男</v>
      </c>
    </row>
    <row r="291" customHeight="1" spans="1:7">
      <c r="A291" s="6">
        <v>289</v>
      </c>
      <c r="B291" s="6" t="str">
        <f>"72072024112209595652495"</f>
        <v>72072024112209595652495</v>
      </c>
      <c r="C291" s="6" t="str">
        <f t="shared" si="70"/>
        <v>0102</v>
      </c>
      <c r="D291" s="6" t="s">
        <v>10</v>
      </c>
      <c r="E291" s="6" t="s">
        <v>9</v>
      </c>
      <c r="F291" s="6" t="str">
        <f>"邢海燕"</f>
        <v>邢海燕</v>
      </c>
      <c r="G291" s="6" t="str">
        <f t="shared" si="71"/>
        <v>女</v>
      </c>
    </row>
    <row r="292" customHeight="1" spans="1:7">
      <c r="A292" s="6">
        <v>290</v>
      </c>
      <c r="B292" s="6" t="str">
        <f>"72072024112212382252980"</f>
        <v>72072024112212382252980</v>
      </c>
      <c r="C292" s="6" t="str">
        <f t="shared" si="70"/>
        <v>0102</v>
      </c>
      <c r="D292" s="6" t="s">
        <v>10</v>
      </c>
      <c r="E292" s="6" t="s">
        <v>9</v>
      </c>
      <c r="F292" s="6" t="str">
        <f>"欧阳玲"</f>
        <v>欧阳玲</v>
      </c>
      <c r="G292" s="6" t="str">
        <f t="shared" si="71"/>
        <v>女</v>
      </c>
    </row>
    <row r="293" customHeight="1" spans="1:7">
      <c r="A293" s="6">
        <v>291</v>
      </c>
      <c r="B293" s="6" t="str">
        <f>"72072024112215363053451"</f>
        <v>72072024112215363053451</v>
      </c>
      <c r="C293" s="6" t="str">
        <f t="shared" si="70"/>
        <v>0102</v>
      </c>
      <c r="D293" s="6" t="s">
        <v>10</v>
      </c>
      <c r="E293" s="6" t="s">
        <v>9</v>
      </c>
      <c r="F293" s="6" t="str">
        <f>"林颖"</f>
        <v>林颖</v>
      </c>
      <c r="G293" s="6" t="str">
        <f t="shared" si="71"/>
        <v>女</v>
      </c>
    </row>
    <row r="294" customHeight="1" spans="1:7">
      <c r="A294" s="6">
        <v>292</v>
      </c>
      <c r="B294" s="6" t="str">
        <f>"72072024112214202153230"</f>
        <v>72072024112214202153230</v>
      </c>
      <c r="C294" s="6" t="str">
        <f t="shared" si="70"/>
        <v>0102</v>
      </c>
      <c r="D294" s="6" t="s">
        <v>10</v>
      </c>
      <c r="E294" s="6" t="s">
        <v>9</v>
      </c>
      <c r="F294" s="6" t="str">
        <f>"何长尔"</f>
        <v>何长尔</v>
      </c>
      <c r="G294" s="6" t="str">
        <f t="shared" si="72"/>
        <v>男</v>
      </c>
    </row>
    <row r="295" customHeight="1" spans="1:7">
      <c r="A295" s="6">
        <v>293</v>
      </c>
      <c r="B295" s="6" t="str">
        <f>"72072024112221381154459"</f>
        <v>72072024112221381154459</v>
      </c>
      <c r="C295" s="6" t="str">
        <f t="shared" si="70"/>
        <v>0102</v>
      </c>
      <c r="D295" s="6" t="s">
        <v>10</v>
      </c>
      <c r="E295" s="6" t="s">
        <v>9</v>
      </c>
      <c r="F295" s="6" t="str">
        <f>"麦斌斌"</f>
        <v>麦斌斌</v>
      </c>
      <c r="G295" s="6" t="str">
        <f t="shared" si="72"/>
        <v>男</v>
      </c>
    </row>
    <row r="296" customHeight="1" spans="1:7">
      <c r="A296" s="6">
        <v>294</v>
      </c>
      <c r="B296" s="6" t="str">
        <f>"72072024112300534554707"</f>
        <v>72072024112300534554707</v>
      </c>
      <c r="C296" s="6" t="str">
        <f t="shared" si="70"/>
        <v>0102</v>
      </c>
      <c r="D296" s="6" t="s">
        <v>10</v>
      </c>
      <c r="E296" s="6" t="s">
        <v>9</v>
      </c>
      <c r="F296" s="6" t="str">
        <f>"高梦玲"</f>
        <v>高梦玲</v>
      </c>
      <c r="G296" s="6" t="str">
        <f t="shared" ref="G296:G298" si="73">"女"</f>
        <v>女</v>
      </c>
    </row>
    <row r="297" customHeight="1" spans="1:7">
      <c r="A297" s="6">
        <v>295</v>
      </c>
      <c r="B297" s="6" t="str">
        <f>"72072024112313143655406"</f>
        <v>72072024112313143655406</v>
      </c>
      <c r="C297" s="6" t="str">
        <f t="shared" si="70"/>
        <v>0102</v>
      </c>
      <c r="D297" s="6" t="s">
        <v>10</v>
      </c>
      <c r="E297" s="6" t="s">
        <v>9</v>
      </c>
      <c r="F297" s="6" t="str">
        <f>"高孟婷"</f>
        <v>高孟婷</v>
      </c>
      <c r="G297" s="6" t="str">
        <f t="shared" si="73"/>
        <v>女</v>
      </c>
    </row>
    <row r="298" customHeight="1" spans="1:7">
      <c r="A298" s="6">
        <v>296</v>
      </c>
      <c r="B298" s="6" t="str">
        <f>"72072024112315072655657"</f>
        <v>72072024112315072655657</v>
      </c>
      <c r="C298" s="6" t="str">
        <f t="shared" si="70"/>
        <v>0102</v>
      </c>
      <c r="D298" s="6" t="s">
        <v>10</v>
      </c>
      <c r="E298" s="6" t="s">
        <v>9</v>
      </c>
      <c r="F298" s="6" t="str">
        <f>"韩月望"</f>
        <v>韩月望</v>
      </c>
      <c r="G298" s="6" t="str">
        <f t="shared" si="73"/>
        <v>女</v>
      </c>
    </row>
    <row r="299" customHeight="1" spans="1:7">
      <c r="A299" s="6">
        <v>297</v>
      </c>
      <c r="B299" s="6" t="str">
        <f>"72072024112315162455673"</f>
        <v>72072024112315162455673</v>
      </c>
      <c r="C299" s="6" t="str">
        <f t="shared" si="70"/>
        <v>0102</v>
      </c>
      <c r="D299" s="6" t="s">
        <v>10</v>
      </c>
      <c r="E299" s="6" t="s">
        <v>9</v>
      </c>
      <c r="F299" s="6" t="str">
        <f>"陈增堂"</f>
        <v>陈增堂</v>
      </c>
      <c r="G299" s="6" t="str">
        <f t="shared" ref="G299:G302" si="74">"男"</f>
        <v>男</v>
      </c>
    </row>
    <row r="300" customHeight="1" spans="1:7">
      <c r="A300" s="6">
        <v>298</v>
      </c>
      <c r="B300" s="6" t="str">
        <f>"72072024112319364856182"</f>
        <v>72072024112319364856182</v>
      </c>
      <c r="C300" s="6" t="str">
        <f t="shared" si="70"/>
        <v>0102</v>
      </c>
      <c r="D300" s="6" t="s">
        <v>10</v>
      </c>
      <c r="E300" s="6" t="s">
        <v>9</v>
      </c>
      <c r="F300" s="6" t="str">
        <f>"麦世举"</f>
        <v>麦世举</v>
      </c>
      <c r="G300" s="6" t="str">
        <f t="shared" si="74"/>
        <v>男</v>
      </c>
    </row>
    <row r="301" customHeight="1" spans="1:7">
      <c r="A301" s="6">
        <v>299</v>
      </c>
      <c r="B301" s="6" t="str">
        <f>"72072024112415552157817"</f>
        <v>72072024112415552157817</v>
      </c>
      <c r="C301" s="6" t="str">
        <f t="shared" si="70"/>
        <v>0102</v>
      </c>
      <c r="D301" s="6" t="s">
        <v>10</v>
      </c>
      <c r="E301" s="6" t="s">
        <v>9</v>
      </c>
      <c r="F301" s="6" t="str">
        <f>"王珠昌"</f>
        <v>王珠昌</v>
      </c>
      <c r="G301" s="6" t="str">
        <f t="shared" si="74"/>
        <v>男</v>
      </c>
    </row>
    <row r="302" customHeight="1" spans="1:7">
      <c r="A302" s="6">
        <v>300</v>
      </c>
      <c r="B302" s="6" t="str">
        <f>"72072024112419140658379"</f>
        <v>72072024112419140658379</v>
      </c>
      <c r="C302" s="6" t="str">
        <f t="shared" si="70"/>
        <v>0102</v>
      </c>
      <c r="D302" s="6" t="s">
        <v>10</v>
      </c>
      <c r="E302" s="6" t="s">
        <v>9</v>
      </c>
      <c r="F302" s="6" t="str">
        <f>"钟源源"</f>
        <v>钟源源</v>
      </c>
      <c r="G302" s="6" t="str">
        <f t="shared" si="74"/>
        <v>男</v>
      </c>
    </row>
    <row r="303" customHeight="1" spans="1:7">
      <c r="A303" s="6">
        <v>301</v>
      </c>
      <c r="B303" s="6" t="str">
        <f>"72072024112312321155303"</f>
        <v>72072024112312321155303</v>
      </c>
      <c r="C303" s="6" t="str">
        <f t="shared" si="70"/>
        <v>0102</v>
      </c>
      <c r="D303" s="6" t="s">
        <v>10</v>
      </c>
      <c r="E303" s="6" t="s">
        <v>9</v>
      </c>
      <c r="F303" s="6" t="str">
        <f>"陈旅旅"</f>
        <v>陈旅旅</v>
      </c>
      <c r="G303" s="6" t="str">
        <f t="shared" ref="G303:G307" si="75">"女"</f>
        <v>女</v>
      </c>
    </row>
    <row r="304" customHeight="1" spans="1:7">
      <c r="A304" s="6">
        <v>302</v>
      </c>
      <c r="B304" s="6" t="str">
        <f>"72072024112420081158547"</f>
        <v>72072024112420081158547</v>
      </c>
      <c r="C304" s="6" t="str">
        <f t="shared" si="70"/>
        <v>0102</v>
      </c>
      <c r="D304" s="6" t="s">
        <v>10</v>
      </c>
      <c r="E304" s="6" t="s">
        <v>9</v>
      </c>
      <c r="F304" s="6" t="str">
        <f>"肖志爱"</f>
        <v>肖志爱</v>
      </c>
      <c r="G304" s="6" t="str">
        <f t="shared" si="75"/>
        <v>女</v>
      </c>
    </row>
    <row r="305" customHeight="1" spans="1:7">
      <c r="A305" s="6">
        <v>303</v>
      </c>
      <c r="B305" s="6" t="str">
        <f>"72072024112219255454139"</f>
        <v>72072024112219255454139</v>
      </c>
      <c r="C305" s="6" t="str">
        <f t="shared" si="70"/>
        <v>0102</v>
      </c>
      <c r="D305" s="6" t="s">
        <v>10</v>
      </c>
      <c r="E305" s="6" t="s">
        <v>9</v>
      </c>
      <c r="F305" s="6" t="str">
        <f>"林明芸"</f>
        <v>林明芸</v>
      </c>
      <c r="G305" s="6" t="str">
        <f t="shared" si="75"/>
        <v>女</v>
      </c>
    </row>
    <row r="306" customHeight="1" spans="1:7">
      <c r="A306" s="6">
        <v>304</v>
      </c>
      <c r="B306" s="6" t="str">
        <f>"72072024112415352757759"</f>
        <v>72072024112415352757759</v>
      </c>
      <c r="C306" s="6" t="str">
        <f t="shared" si="70"/>
        <v>0102</v>
      </c>
      <c r="D306" s="6" t="s">
        <v>10</v>
      </c>
      <c r="E306" s="6" t="s">
        <v>9</v>
      </c>
      <c r="F306" s="6" t="str">
        <f>"陈蓓蓓"</f>
        <v>陈蓓蓓</v>
      </c>
      <c r="G306" s="6" t="str">
        <f t="shared" si="75"/>
        <v>女</v>
      </c>
    </row>
    <row r="307" customHeight="1" spans="1:7">
      <c r="A307" s="6">
        <v>305</v>
      </c>
      <c r="B307" s="6" t="str">
        <f>"72072024112410122756944"</f>
        <v>72072024112410122756944</v>
      </c>
      <c r="C307" s="6" t="str">
        <f t="shared" si="70"/>
        <v>0102</v>
      </c>
      <c r="D307" s="6" t="s">
        <v>10</v>
      </c>
      <c r="E307" s="6" t="s">
        <v>9</v>
      </c>
      <c r="F307" s="6" t="str">
        <f>"黎伟萍"</f>
        <v>黎伟萍</v>
      </c>
      <c r="G307" s="6" t="str">
        <f t="shared" si="75"/>
        <v>女</v>
      </c>
    </row>
    <row r="308" customHeight="1" spans="1:7">
      <c r="A308" s="6">
        <v>306</v>
      </c>
      <c r="B308" s="6" t="str">
        <f>"72072024112509453660496"</f>
        <v>72072024112509453660496</v>
      </c>
      <c r="C308" s="6" t="str">
        <f t="shared" si="70"/>
        <v>0102</v>
      </c>
      <c r="D308" s="6" t="s">
        <v>10</v>
      </c>
      <c r="E308" s="6" t="s">
        <v>9</v>
      </c>
      <c r="F308" s="6" t="str">
        <f>"孙宗宇"</f>
        <v>孙宗宇</v>
      </c>
      <c r="G308" s="6" t="str">
        <f>"男"</f>
        <v>男</v>
      </c>
    </row>
    <row r="309" customHeight="1" spans="1:7">
      <c r="A309" s="6">
        <v>307</v>
      </c>
      <c r="B309" s="6" t="str">
        <f>"72072024112514214363489"</f>
        <v>72072024112514214363489</v>
      </c>
      <c r="C309" s="6" t="str">
        <f t="shared" si="70"/>
        <v>0102</v>
      </c>
      <c r="D309" s="6" t="s">
        <v>10</v>
      </c>
      <c r="E309" s="6" t="s">
        <v>9</v>
      </c>
      <c r="F309" s="6" t="str">
        <f>"周小渝"</f>
        <v>周小渝</v>
      </c>
      <c r="G309" s="6" t="str">
        <f t="shared" ref="G309:G319" si="76">"女"</f>
        <v>女</v>
      </c>
    </row>
    <row r="310" customHeight="1" spans="1:7">
      <c r="A310" s="6">
        <v>308</v>
      </c>
      <c r="B310" s="6" t="str">
        <f>"72072024112517554265573"</f>
        <v>72072024112517554265573</v>
      </c>
      <c r="C310" s="6" t="str">
        <f t="shared" si="70"/>
        <v>0102</v>
      </c>
      <c r="D310" s="6" t="s">
        <v>10</v>
      </c>
      <c r="E310" s="6" t="s">
        <v>9</v>
      </c>
      <c r="F310" s="6" t="str">
        <f>"邢艳"</f>
        <v>邢艳</v>
      </c>
      <c r="G310" s="6" t="str">
        <f t="shared" si="76"/>
        <v>女</v>
      </c>
    </row>
    <row r="311" customHeight="1" spans="1:7">
      <c r="A311" s="6">
        <v>309</v>
      </c>
      <c r="B311" s="6" t="str">
        <f>"72072024112209021652273"</f>
        <v>72072024112209021652273</v>
      </c>
      <c r="C311" s="6" t="str">
        <f t="shared" si="70"/>
        <v>0102</v>
      </c>
      <c r="D311" s="6" t="s">
        <v>10</v>
      </c>
      <c r="E311" s="6" t="s">
        <v>9</v>
      </c>
      <c r="F311" s="6" t="str">
        <f>"周熹"</f>
        <v>周熹</v>
      </c>
      <c r="G311" s="6" t="str">
        <f t="shared" si="76"/>
        <v>女</v>
      </c>
    </row>
    <row r="312" customHeight="1" spans="1:7">
      <c r="A312" s="6">
        <v>310</v>
      </c>
      <c r="B312" s="6" t="str">
        <f>"72072024112516295764999"</f>
        <v>72072024112516295764999</v>
      </c>
      <c r="C312" s="6" t="str">
        <f t="shared" si="70"/>
        <v>0102</v>
      </c>
      <c r="D312" s="6" t="s">
        <v>10</v>
      </c>
      <c r="E312" s="6" t="s">
        <v>9</v>
      </c>
      <c r="F312" s="6" t="str">
        <f>"陈惠丹"</f>
        <v>陈惠丹</v>
      </c>
      <c r="G312" s="6" t="str">
        <f t="shared" si="76"/>
        <v>女</v>
      </c>
    </row>
    <row r="313" customHeight="1" spans="1:7">
      <c r="A313" s="6">
        <v>311</v>
      </c>
      <c r="B313" s="6" t="str">
        <f>"72072024112519403366039"</f>
        <v>72072024112519403366039</v>
      </c>
      <c r="C313" s="6" t="str">
        <f t="shared" si="70"/>
        <v>0102</v>
      </c>
      <c r="D313" s="6" t="s">
        <v>10</v>
      </c>
      <c r="E313" s="6" t="s">
        <v>9</v>
      </c>
      <c r="F313" s="6" t="str">
        <f>"何世霞"</f>
        <v>何世霞</v>
      </c>
      <c r="G313" s="6" t="str">
        <f t="shared" si="76"/>
        <v>女</v>
      </c>
    </row>
    <row r="314" customHeight="1" spans="1:7">
      <c r="A314" s="6">
        <v>312</v>
      </c>
      <c r="B314" s="6" t="str">
        <f>"72072024112423333259202"</f>
        <v>72072024112423333259202</v>
      </c>
      <c r="C314" s="6" t="str">
        <f t="shared" si="70"/>
        <v>0102</v>
      </c>
      <c r="D314" s="6" t="s">
        <v>10</v>
      </c>
      <c r="E314" s="6" t="s">
        <v>9</v>
      </c>
      <c r="F314" s="6" t="str">
        <f>"陈春萍"</f>
        <v>陈春萍</v>
      </c>
      <c r="G314" s="6" t="str">
        <f t="shared" si="76"/>
        <v>女</v>
      </c>
    </row>
    <row r="315" customHeight="1" spans="1:7">
      <c r="A315" s="6">
        <v>313</v>
      </c>
      <c r="B315" s="6" t="str">
        <f>"72072024112311021355116"</f>
        <v>72072024112311021355116</v>
      </c>
      <c r="C315" s="6" t="str">
        <f t="shared" si="70"/>
        <v>0102</v>
      </c>
      <c r="D315" s="6" t="s">
        <v>10</v>
      </c>
      <c r="E315" s="6" t="s">
        <v>9</v>
      </c>
      <c r="F315" s="6" t="str">
        <f>"蔡雨晴"</f>
        <v>蔡雨晴</v>
      </c>
      <c r="G315" s="6" t="str">
        <f t="shared" si="76"/>
        <v>女</v>
      </c>
    </row>
    <row r="316" customHeight="1" spans="1:7">
      <c r="A316" s="6">
        <v>314</v>
      </c>
      <c r="B316" s="6" t="str">
        <f>"72072024112214554253316"</f>
        <v>72072024112214554253316</v>
      </c>
      <c r="C316" s="6" t="str">
        <f t="shared" si="70"/>
        <v>0102</v>
      </c>
      <c r="D316" s="6" t="s">
        <v>10</v>
      </c>
      <c r="E316" s="6" t="s">
        <v>9</v>
      </c>
      <c r="F316" s="6" t="str">
        <f>"王正菁"</f>
        <v>王正菁</v>
      </c>
      <c r="G316" s="6" t="str">
        <f t="shared" si="76"/>
        <v>女</v>
      </c>
    </row>
    <row r="317" customHeight="1" spans="1:7">
      <c r="A317" s="6">
        <v>315</v>
      </c>
      <c r="B317" s="6" t="str">
        <f>"72072024112209164952324"</f>
        <v>72072024112209164952324</v>
      </c>
      <c r="C317" s="6" t="str">
        <f t="shared" si="70"/>
        <v>0102</v>
      </c>
      <c r="D317" s="6" t="s">
        <v>10</v>
      </c>
      <c r="E317" s="6" t="s">
        <v>9</v>
      </c>
      <c r="F317" s="6" t="str">
        <f>"李佳慧"</f>
        <v>李佳慧</v>
      </c>
      <c r="G317" s="6" t="str">
        <f t="shared" si="76"/>
        <v>女</v>
      </c>
    </row>
    <row r="318" customHeight="1" spans="1:7">
      <c r="A318" s="6">
        <v>316</v>
      </c>
      <c r="B318" s="6" t="str">
        <f>"72072024112608152267186"</f>
        <v>72072024112608152267186</v>
      </c>
      <c r="C318" s="6" t="str">
        <f t="shared" si="70"/>
        <v>0102</v>
      </c>
      <c r="D318" s="6" t="s">
        <v>10</v>
      </c>
      <c r="E318" s="6" t="s">
        <v>9</v>
      </c>
      <c r="F318" s="6" t="str">
        <f>"曾令红"</f>
        <v>曾令红</v>
      </c>
      <c r="G318" s="6" t="str">
        <f t="shared" si="76"/>
        <v>女</v>
      </c>
    </row>
    <row r="319" customHeight="1" spans="1:7">
      <c r="A319" s="6">
        <v>317</v>
      </c>
      <c r="B319" s="6" t="str">
        <f>"72072024112211415052865"</f>
        <v>72072024112211415052865</v>
      </c>
      <c r="C319" s="6" t="str">
        <f t="shared" si="70"/>
        <v>0102</v>
      </c>
      <c r="D319" s="6" t="s">
        <v>10</v>
      </c>
      <c r="E319" s="6" t="s">
        <v>9</v>
      </c>
      <c r="F319" s="6" t="str">
        <f>"陈莹"</f>
        <v>陈莹</v>
      </c>
      <c r="G319" s="6" t="str">
        <f t="shared" si="76"/>
        <v>女</v>
      </c>
    </row>
    <row r="320" customHeight="1" spans="1:7">
      <c r="A320" s="6">
        <v>318</v>
      </c>
      <c r="B320" s="6" t="str">
        <f>"72072024112511310362003"</f>
        <v>72072024112511310362003</v>
      </c>
      <c r="C320" s="6" t="str">
        <f t="shared" si="70"/>
        <v>0102</v>
      </c>
      <c r="D320" s="6" t="s">
        <v>10</v>
      </c>
      <c r="E320" s="6" t="s">
        <v>9</v>
      </c>
      <c r="F320" s="6" t="str">
        <f>"麦贵凡"</f>
        <v>麦贵凡</v>
      </c>
      <c r="G320" s="6" t="str">
        <f>"男"</f>
        <v>男</v>
      </c>
    </row>
    <row r="321" customHeight="1" spans="1:7">
      <c r="A321" s="6">
        <v>319</v>
      </c>
      <c r="B321" s="6" t="str">
        <f>"72072024112517313365454"</f>
        <v>72072024112517313365454</v>
      </c>
      <c r="C321" s="6" t="str">
        <f t="shared" si="70"/>
        <v>0102</v>
      </c>
      <c r="D321" s="6" t="s">
        <v>10</v>
      </c>
      <c r="E321" s="6" t="s">
        <v>9</v>
      </c>
      <c r="F321" s="6" t="str">
        <f>"王宝玲"</f>
        <v>王宝玲</v>
      </c>
      <c r="G321" s="6" t="str">
        <f t="shared" ref="G321:G328" si="77">"女"</f>
        <v>女</v>
      </c>
    </row>
    <row r="322" customHeight="1" spans="1:7">
      <c r="A322" s="6">
        <v>320</v>
      </c>
      <c r="B322" s="6" t="str">
        <f>"72072024112210215452591"</f>
        <v>72072024112210215452591</v>
      </c>
      <c r="C322" s="6" t="str">
        <f t="shared" si="70"/>
        <v>0102</v>
      </c>
      <c r="D322" s="6" t="s">
        <v>10</v>
      </c>
      <c r="E322" s="6" t="s">
        <v>9</v>
      </c>
      <c r="F322" s="6" t="str">
        <f>"王荟绚"</f>
        <v>王荟绚</v>
      </c>
      <c r="G322" s="6" t="str">
        <f t="shared" si="77"/>
        <v>女</v>
      </c>
    </row>
    <row r="323" customHeight="1" spans="1:7">
      <c r="A323" s="6">
        <v>321</v>
      </c>
      <c r="B323" s="6" t="str">
        <f>"72072024112614573369483"</f>
        <v>72072024112614573369483</v>
      </c>
      <c r="C323" s="6" t="str">
        <f t="shared" si="70"/>
        <v>0102</v>
      </c>
      <c r="D323" s="6" t="s">
        <v>10</v>
      </c>
      <c r="E323" s="6" t="s">
        <v>9</v>
      </c>
      <c r="F323" s="6" t="str">
        <f>"王珠勤"</f>
        <v>王珠勤</v>
      </c>
      <c r="G323" s="6" t="str">
        <f>"男"</f>
        <v>男</v>
      </c>
    </row>
    <row r="324" customHeight="1" spans="1:7">
      <c r="A324" s="6">
        <v>322</v>
      </c>
      <c r="B324" s="6" t="str">
        <f>"72072024112421225558802"</f>
        <v>72072024112421225558802</v>
      </c>
      <c r="C324" s="6" t="str">
        <f t="shared" si="70"/>
        <v>0102</v>
      </c>
      <c r="D324" s="6" t="s">
        <v>10</v>
      </c>
      <c r="E324" s="6" t="s">
        <v>9</v>
      </c>
      <c r="F324" s="6" t="str">
        <f>"张亚"</f>
        <v>张亚</v>
      </c>
      <c r="G324" s="6" t="str">
        <f t="shared" si="77"/>
        <v>女</v>
      </c>
    </row>
    <row r="325" customHeight="1" spans="1:7">
      <c r="A325" s="6">
        <v>323</v>
      </c>
      <c r="B325" s="6" t="str">
        <f>"72072024112412014557216"</f>
        <v>72072024112412014557216</v>
      </c>
      <c r="C325" s="6" t="str">
        <f t="shared" si="70"/>
        <v>0102</v>
      </c>
      <c r="D325" s="6" t="s">
        <v>10</v>
      </c>
      <c r="E325" s="6" t="s">
        <v>9</v>
      </c>
      <c r="F325" s="6" t="str">
        <f>"张丹"</f>
        <v>张丹</v>
      </c>
      <c r="G325" s="6" t="str">
        <f t="shared" si="77"/>
        <v>女</v>
      </c>
    </row>
    <row r="326" customHeight="1" spans="1:7">
      <c r="A326" s="6">
        <v>324</v>
      </c>
      <c r="B326" s="6" t="str">
        <f>"72072024112616324169984"</f>
        <v>72072024112616324169984</v>
      </c>
      <c r="C326" s="6" t="str">
        <f t="shared" si="70"/>
        <v>0102</v>
      </c>
      <c r="D326" s="6" t="s">
        <v>10</v>
      </c>
      <c r="E326" s="6" t="s">
        <v>9</v>
      </c>
      <c r="F326" s="6" t="str">
        <f>"王文珊"</f>
        <v>王文珊</v>
      </c>
      <c r="G326" s="6" t="str">
        <f t="shared" si="77"/>
        <v>女</v>
      </c>
    </row>
    <row r="327" customHeight="1" spans="1:7">
      <c r="A327" s="6">
        <v>325</v>
      </c>
      <c r="B327" s="6" t="str">
        <f>"72072024112615432369737"</f>
        <v>72072024112615432369737</v>
      </c>
      <c r="C327" s="6" t="str">
        <f t="shared" si="70"/>
        <v>0102</v>
      </c>
      <c r="D327" s="6" t="s">
        <v>10</v>
      </c>
      <c r="E327" s="6" t="s">
        <v>9</v>
      </c>
      <c r="F327" s="6" t="str">
        <f>"林晓琳"</f>
        <v>林晓琳</v>
      </c>
      <c r="G327" s="6" t="str">
        <f t="shared" si="77"/>
        <v>女</v>
      </c>
    </row>
    <row r="328" customHeight="1" spans="1:7">
      <c r="A328" s="6">
        <v>326</v>
      </c>
      <c r="B328" s="6" t="str">
        <f>"72072024112509014859671"</f>
        <v>72072024112509014859671</v>
      </c>
      <c r="C328" s="6" t="str">
        <f t="shared" si="70"/>
        <v>0102</v>
      </c>
      <c r="D328" s="6" t="s">
        <v>10</v>
      </c>
      <c r="E328" s="6" t="s">
        <v>9</v>
      </c>
      <c r="F328" s="6" t="str">
        <f>"苏篁倩"</f>
        <v>苏篁倩</v>
      </c>
      <c r="G328" s="6" t="str">
        <f t="shared" si="77"/>
        <v>女</v>
      </c>
    </row>
    <row r="329" customHeight="1" spans="1:7">
      <c r="A329" s="6">
        <v>327</v>
      </c>
      <c r="B329" s="6" t="str">
        <f>"72072024112515423764487"</f>
        <v>72072024112515423764487</v>
      </c>
      <c r="C329" s="6" t="str">
        <f t="shared" si="70"/>
        <v>0102</v>
      </c>
      <c r="D329" s="6" t="s">
        <v>10</v>
      </c>
      <c r="E329" s="6" t="s">
        <v>9</v>
      </c>
      <c r="F329" s="6" t="str">
        <f>"吴昊"</f>
        <v>吴昊</v>
      </c>
      <c r="G329" s="6" t="str">
        <f>"男"</f>
        <v>男</v>
      </c>
    </row>
    <row r="330" customHeight="1" spans="1:7">
      <c r="A330" s="6">
        <v>328</v>
      </c>
      <c r="B330" s="6" t="str">
        <f>"72072024112519502866088"</f>
        <v>72072024112519502866088</v>
      </c>
      <c r="C330" s="6" t="str">
        <f t="shared" si="70"/>
        <v>0102</v>
      </c>
      <c r="D330" s="6" t="s">
        <v>10</v>
      </c>
      <c r="E330" s="6" t="s">
        <v>9</v>
      </c>
      <c r="F330" s="6" t="str">
        <f>"刘娟"</f>
        <v>刘娟</v>
      </c>
      <c r="G330" s="6" t="str">
        <f t="shared" ref="G330:G333" si="78">"女"</f>
        <v>女</v>
      </c>
    </row>
    <row r="331" customHeight="1" spans="1:7">
      <c r="A331" s="6">
        <v>329</v>
      </c>
      <c r="B331" s="6" t="str">
        <f>"72072024112610450868404"</f>
        <v>72072024112610450868404</v>
      </c>
      <c r="C331" s="6" t="str">
        <f t="shared" si="70"/>
        <v>0102</v>
      </c>
      <c r="D331" s="6" t="s">
        <v>10</v>
      </c>
      <c r="E331" s="6" t="s">
        <v>9</v>
      </c>
      <c r="F331" s="6" t="str">
        <f>"周婷婷"</f>
        <v>周婷婷</v>
      </c>
      <c r="G331" s="6" t="str">
        <f t="shared" si="78"/>
        <v>女</v>
      </c>
    </row>
    <row r="332" customHeight="1" spans="1:7">
      <c r="A332" s="6">
        <v>330</v>
      </c>
      <c r="B332" s="6" t="str">
        <f>"72072024112509092159831"</f>
        <v>72072024112509092159831</v>
      </c>
      <c r="C332" s="6" t="str">
        <f t="shared" si="70"/>
        <v>0102</v>
      </c>
      <c r="D332" s="6" t="s">
        <v>10</v>
      </c>
      <c r="E332" s="6" t="s">
        <v>9</v>
      </c>
      <c r="F332" s="6" t="str">
        <f>"林小娉"</f>
        <v>林小娉</v>
      </c>
      <c r="G332" s="6" t="str">
        <f t="shared" si="78"/>
        <v>女</v>
      </c>
    </row>
    <row r="333" customHeight="1" spans="1:7">
      <c r="A333" s="6">
        <v>331</v>
      </c>
      <c r="B333" s="6" t="str">
        <f>"72072024112509131659913"</f>
        <v>72072024112509131659913</v>
      </c>
      <c r="C333" s="6" t="str">
        <f t="shared" si="70"/>
        <v>0102</v>
      </c>
      <c r="D333" s="6" t="s">
        <v>10</v>
      </c>
      <c r="E333" s="6" t="s">
        <v>9</v>
      </c>
      <c r="F333" s="6" t="str">
        <f>"李姿"</f>
        <v>李姿</v>
      </c>
      <c r="G333" s="6" t="str">
        <f t="shared" si="78"/>
        <v>女</v>
      </c>
    </row>
    <row r="334" customHeight="1" spans="1:7">
      <c r="A334" s="6">
        <v>332</v>
      </c>
      <c r="B334" s="6" t="str">
        <f>"72072024112220384454324"</f>
        <v>72072024112220384454324</v>
      </c>
      <c r="C334" s="6" t="str">
        <f t="shared" si="70"/>
        <v>0102</v>
      </c>
      <c r="D334" s="6" t="s">
        <v>10</v>
      </c>
      <c r="E334" s="6" t="s">
        <v>9</v>
      </c>
      <c r="F334" s="6" t="str">
        <f>"麦制奇"</f>
        <v>麦制奇</v>
      </c>
      <c r="G334" s="6" t="str">
        <f t="shared" ref="G334:G339" si="79">"男"</f>
        <v>男</v>
      </c>
    </row>
    <row r="335" customHeight="1" spans="1:7">
      <c r="A335" s="6">
        <v>333</v>
      </c>
      <c r="B335" s="6" t="str">
        <f>"72072024112519342166009"</f>
        <v>72072024112519342166009</v>
      </c>
      <c r="C335" s="6" t="str">
        <f t="shared" si="70"/>
        <v>0102</v>
      </c>
      <c r="D335" s="6" t="s">
        <v>10</v>
      </c>
      <c r="E335" s="6" t="s">
        <v>9</v>
      </c>
      <c r="F335" s="6" t="str">
        <f>"唐玉珍"</f>
        <v>唐玉珍</v>
      </c>
      <c r="G335" s="6" t="str">
        <f t="shared" ref="G335:G338" si="80">"女"</f>
        <v>女</v>
      </c>
    </row>
    <row r="336" customHeight="1" spans="1:7">
      <c r="A336" s="6">
        <v>334</v>
      </c>
      <c r="B336" s="6" t="str">
        <f>"72072024112620485170880"</f>
        <v>72072024112620485170880</v>
      </c>
      <c r="C336" s="6" t="str">
        <f t="shared" si="70"/>
        <v>0102</v>
      </c>
      <c r="D336" s="6" t="s">
        <v>10</v>
      </c>
      <c r="E336" s="6" t="s">
        <v>9</v>
      </c>
      <c r="F336" s="6" t="str">
        <f>"陈霞"</f>
        <v>陈霞</v>
      </c>
      <c r="G336" s="6" t="str">
        <f t="shared" si="80"/>
        <v>女</v>
      </c>
    </row>
    <row r="337" customHeight="1" spans="1:7">
      <c r="A337" s="6">
        <v>335</v>
      </c>
      <c r="B337" s="6" t="str">
        <f>"72072024112411071057077"</f>
        <v>72072024112411071057077</v>
      </c>
      <c r="C337" s="6" t="str">
        <f t="shared" si="70"/>
        <v>0102</v>
      </c>
      <c r="D337" s="6" t="s">
        <v>10</v>
      </c>
      <c r="E337" s="6" t="s">
        <v>9</v>
      </c>
      <c r="F337" s="6" t="str">
        <f>"罗智芳"</f>
        <v>罗智芳</v>
      </c>
      <c r="G337" s="6" t="str">
        <f t="shared" si="79"/>
        <v>男</v>
      </c>
    </row>
    <row r="338" customHeight="1" spans="1:7">
      <c r="A338" s="6">
        <v>336</v>
      </c>
      <c r="B338" s="6" t="str">
        <f>"72072024112619565770697"</f>
        <v>72072024112619565770697</v>
      </c>
      <c r="C338" s="6" t="str">
        <f t="shared" si="70"/>
        <v>0102</v>
      </c>
      <c r="D338" s="6" t="s">
        <v>10</v>
      </c>
      <c r="E338" s="6" t="s">
        <v>9</v>
      </c>
      <c r="F338" s="6" t="str">
        <f>"林永仙"</f>
        <v>林永仙</v>
      </c>
      <c r="G338" s="6" t="str">
        <f t="shared" si="80"/>
        <v>女</v>
      </c>
    </row>
    <row r="339" customHeight="1" spans="1:7">
      <c r="A339" s="6">
        <v>337</v>
      </c>
      <c r="B339" s="6" t="str">
        <f>"72072024112700364771385"</f>
        <v>72072024112700364771385</v>
      </c>
      <c r="C339" s="6" t="str">
        <f t="shared" si="70"/>
        <v>0102</v>
      </c>
      <c r="D339" s="6" t="s">
        <v>10</v>
      </c>
      <c r="E339" s="6" t="s">
        <v>9</v>
      </c>
      <c r="F339" s="6" t="str">
        <f>"李鹏"</f>
        <v>李鹏</v>
      </c>
      <c r="G339" s="6" t="str">
        <f t="shared" si="79"/>
        <v>男</v>
      </c>
    </row>
    <row r="340" customHeight="1" spans="1:7">
      <c r="A340" s="6">
        <v>338</v>
      </c>
      <c r="B340" s="6" t="str">
        <f>"72072024112701203871398"</f>
        <v>72072024112701203871398</v>
      </c>
      <c r="C340" s="6" t="str">
        <f t="shared" si="70"/>
        <v>0102</v>
      </c>
      <c r="D340" s="6" t="s">
        <v>10</v>
      </c>
      <c r="E340" s="6" t="s">
        <v>9</v>
      </c>
      <c r="F340" s="6" t="str">
        <f>"吴淑静"</f>
        <v>吴淑静</v>
      </c>
      <c r="G340" s="6" t="str">
        <f t="shared" ref="G340:G343" si="81">"女"</f>
        <v>女</v>
      </c>
    </row>
    <row r="341" customHeight="1" spans="1:7">
      <c r="A341" s="6">
        <v>339</v>
      </c>
      <c r="B341" s="6" t="str">
        <f>"72072024112702154571408"</f>
        <v>72072024112702154571408</v>
      </c>
      <c r="C341" s="6" t="str">
        <f t="shared" si="70"/>
        <v>0102</v>
      </c>
      <c r="D341" s="6" t="s">
        <v>10</v>
      </c>
      <c r="E341" s="6" t="s">
        <v>9</v>
      </c>
      <c r="F341" s="6" t="str">
        <f>"周指南"</f>
        <v>周指南</v>
      </c>
      <c r="G341" s="6" t="str">
        <f t="shared" si="81"/>
        <v>女</v>
      </c>
    </row>
    <row r="342" customHeight="1" spans="1:7">
      <c r="A342" s="6">
        <v>340</v>
      </c>
      <c r="B342" s="6" t="str">
        <f>"72072024112509335760285"</f>
        <v>72072024112509335760285</v>
      </c>
      <c r="C342" s="6" t="str">
        <f t="shared" si="70"/>
        <v>0102</v>
      </c>
      <c r="D342" s="6" t="s">
        <v>10</v>
      </c>
      <c r="E342" s="6" t="s">
        <v>9</v>
      </c>
      <c r="F342" s="6" t="str">
        <f>"蔡素诗"</f>
        <v>蔡素诗</v>
      </c>
      <c r="G342" s="6" t="str">
        <f t="shared" si="81"/>
        <v>女</v>
      </c>
    </row>
    <row r="343" customHeight="1" spans="1:7">
      <c r="A343" s="6">
        <v>341</v>
      </c>
      <c r="B343" s="6" t="str">
        <f>"72072024112622493271245"</f>
        <v>72072024112622493271245</v>
      </c>
      <c r="C343" s="6" t="str">
        <f t="shared" si="70"/>
        <v>0102</v>
      </c>
      <c r="D343" s="6" t="s">
        <v>10</v>
      </c>
      <c r="E343" s="6" t="s">
        <v>9</v>
      </c>
      <c r="F343" s="6" t="str">
        <f>"陈更能"</f>
        <v>陈更能</v>
      </c>
      <c r="G343" s="6" t="str">
        <f t="shared" si="81"/>
        <v>女</v>
      </c>
    </row>
    <row r="344" customHeight="1" spans="1:7">
      <c r="A344" s="6">
        <v>342</v>
      </c>
      <c r="B344" s="6" t="str">
        <f>"72072024112709413571877"</f>
        <v>72072024112709413571877</v>
      </c>
      <c r="C344" s="6" t="str">
        <f t="shared" si="70"/>
        <v>0102</v>
      </c>
      <c r="D344" s="6" t="s">
        <v>10</v>
      </c>
      <c r="E344" s="6" t="s">
        <v>9</v>
      </c>
      <c r="F344" s="6" t="str">
        <f>"董凡"</f>
        <v>董凡</v>
      </c>
      <c r="G344" s="6" t="str">
        <f>"男"</f>
        <v>男</v>
      </c>
    </row>
    <row r="345" customHeight="1" spans="1:7">
      <c r="A345" s="6">
        <v>343</v>
      </c>
      <c r="B345" s="6" t="str">
        <f>"72072024112711170772451"</f>
        <v>72072024112711170772451</v>
      </c>
      <c r="C345" s="6" t="str">
        <f t="shared" si="70"/>
        <v>0102</v>
      </c>
      <c r="D345" s="6" t="s">
        <v>10</v>
      </c>
      <c r="E345" s="6" t="s">
        <v>9</v>
      </c>
      <c r="F345" s="6" t="str">
        <f>"潘青叶"</f>
        <v>潘青叶</v>
      </c>
      <c r="G345" s="6" t="str">
        <f t="shared" ref="G345:G353" si="82">"女"</f>
        <v>女</v>
      </c>
    </row>
    <row r="346" customHeight="1" spans="1:7">
      <c r="A346" s="6">
        <v>344</v>
      </c>
      <c r="B346" s="6" t="str">
        <f>"72072024112412171757260"</f>
        <v>72072024112412171757260</v>
      </c>
      <c r="C346" s="6" t="str">
        <f t="shared" si="70"/>
        <v>0102</v>
      </c>
      <c r="D346" s="6" t="s">
        <v>10</v>
      </c>
      <c r="E346" s="6" t="s">
        <v>9</v>
      </c>
      <c r="F346" s="6" t="str">
        <f>"麦释珑"</f>
        <v>麦释珑</v>
      </c>
      <c r="G346" s="6" t="str">
        <f>"男"</f>
        <v>男</v>
      </c>
    </row>
    <row r="347" customHeight="1" spans="1:7">
      <c r="A347" s="6">
        <v>345</v>
      </c>
      <c r="B347" s="6" t="str">
        <f>"72072024112710313172191"</f>
        <v>72072024112710313172191</v>
      </c>
      <c r="C347" s="6" t="str">
        <f t="shared" si="70"/>
        <v>0102</v>
      </c>
      <c r="D347" s="6" t="s">
        <v>10</v>
      </c>
      <c r="E347" s="6" t="s">
        <v>9</v>
      </c>
      <c r="F347" s="6" t="str">
        <f>"麦婷婷"</f>
        <v>麦婷婷</v>
      </c>
      <c r="G347" s="6" t="str">
        <f t="shared" si="82"/>
        <v>女</v>
      </c>
    </row>
    <row r="348" customHeight="1" spans="1:7">
      <c r="A348" s="6">
        <v>346</v>
      </c>
      <c r="B348" s="6" t="str">
        <f>"72072024112712425272759"</f>
        <v>72072024112712425272759</v>
      </c>
      <c r="C348" s="6" t="str">
        <f t="shared" si="70"/>
        <v>0102</v>
      </c>
      <c r="D348" s="6" t="s">
        <v>10</v>
      </c>
      <c r="E348" s="6" t="s">
        <v>9</v>
      </c>
      <c r="F348" s="6" t="str">
        <f>"麦宜纯"</f>
        <v>麦宜纯</v>
      </c>
      <c r="G348" s="6" t="str">
        <f t="shared" si="82"/>
        <v>女</v>
      </c>
    </row>
    <row r="349" customHeight="1" spans="1:7">
      <c r="A349" s="6">
        <v>347</v>
      </c>
      <c r="B349" s="6" t="str">
        <f>"72072024112713191172872"</f>
        <v>72072024112713191172872</v>
      </c>
      <c r="C349" s="6" t="str">
        <f t="shared" si="70"/>
        <v>0102</v>
      </c>
      <c r="D349" s="6" t="s">
        <v>10</v>
      </c>
      <c r="E349" s="6" t="s">
        <v>9</v>
      </c>
      <c r="F349" s="6" t="str">
        <f>"庞小艳"</f>
        <v>庞小艳</v>
      </c>
      <c r="G349" s="6" t="str">
        <f t="shared" si="82"/>
        <v>女</v>
      </c>
    </row>
    <row r="350" customHeight="1" spans="1:7">
      <c r="A350" s="6">
        <v>348</v>
      </c>
      <c r="B350" s="6" t="str">
        <f>"72072024112712430972760"</f>
        <v>72072024112712430972760</v>
      </c>
      <c r="C350" s="6" t="str">
        <f t="shared" si="70"/>
        <v>0102</v>
      </c>
      <c r="D350" s="6" t="s">
        <v>10</v>
      </c>
      <c r="E350" s="6" t="s">
        <v>9</v>
      </c>
      <c r="F350" s="6" t="str">
        <f>"蔡素芳"</f>
        <v>蔡素芳</v>
      </c>
      <c r="G350" s="6" t="str">
        <f t="shared" si="82"/>
        <v>女</v>
      </c>
    </row>
    <row r="351" customHeight="1" spans="1:7">
      <c r="A351" s="6">
        <v>349</v>
      </c>
      <c r="B351" s="6" t="str">
        <f>"72072024112711530472606"</f>
        <v>72072024112711530472606</v>
      </c>
      <c r="C351" s="6" t="str">
        <f t="shared" si="70"/>
        <v>0102</v>
      </c>
      <c r="D351" s="6" t="s">
        <v>10</v>
      </c>
      <c r="E351" s="6" t="s">
        <v>9</v>
      </c>
      <c r="F351" s="6" t="str">
        <f>"王玉宛"</f>
        <v>王玉宛</v>
      </c>
      <c r="G351" s="6" t="str">
        <f t="shared" si="82"/>
        <v>女</v>
      </c>
    </row>
    <row r="352" customHeight="1" spans="1:7">
      <c r="A352" s="6">
        <v>350</v>
      </c>
      <c r="B352" s="6" t="str">
        <f>"72072024112710524872312"</f>
        <v>72072024112710524872312</v>
      </c>
      <c r="C352" s="6" t="str">
        <f t="shared" ref="C352:C415" si="83">"0102"</f>
        <v>0102</v>
      </c>
      <c r="D352" s="6" t="s">
        <v>10</v>
      </c>
      <c r="E352" s="6" t="s">
        <v>9</v>
      </c>
      <c r="F352" s="6" t="str">
        <f>"王珍珍"</f>
        <v>王珍珍</v>
      </c>
      <c r="G352" s="6" t="str">
        <f t="shared" si="82"/>
        <v>女</v>
      </c>
    </row>
    <row r="353" customHeight="1" spans="1:7">
      <c r="A353" s="6">
        <v>351</v>
      </c>
      <c r="B353" s="6" t="str">
        <f>"72072024112715265973405"</f>
        <v>72072024112715265973405</v>
      </c>
      <c r="C353" s="6" t="str">
        <f t="shared" si="83"/>
        <v>0102</v>
      </c>
      <c r="D353" s="6" t="s">
        <v>10</v>
      </c>
      <c r="E353" s="6" t="s">
        <v>9</v>
      </c>
      <c r="F353" s="6" t="str">
        <f>"张俊婷"</f>
        <v>张俊婷</v>
      </c>
      <c r="G353" s="6" t="str">
        <f t="shared" si="82"/>
        <v>女</v>
      </c>
    </row>
    <row r="354" customHeight="1" spans="1:7">
      <c r="A354" s="6">
        <v>352</v>
      </c>
      <c r="B354" s="6" t="str">
        <f>"72072024112609513068061"</f>
        <v>72072024112609513068061</v>
      </c>
      <c r="C354" s="6" t="str">
        <f t="shared" si="83"/>
        <v>0102</v>
      </c>
      <c r="D354" s="6" t="s">
        <v>10</v>
      </c>
      <c r="E354" s="6" t="s">
        <v>9</v>
      </c>
      <c r="F354" s="6" t="str">
        <f>"陈容锦"</f>
        <v>陈容锦</v>
      </c>
      <c r="G354" s="6" t="str">
        <f t="shared" ref="G354:G357" si="84">"男"</f>
        <v>男</v>
      </c>
    </row>
    <row r="355" customHeight="1" spans="1:7">
      <c r="A355" s="6">
        <v>353</v>
      </c>
      <c r="B355" s="6" t="str">
        <f>"72072024112620032370709"</f>
        <v>72072024112620032370709</v>
      </c>
      <c r="C355" s="6" t="str">
        <f t="shared" si="83"/>
        <v>0102</v>
      </c>
      <c r="D355" s="6" t="s">
        <v>10</v>
      </c>
      <c r="E355" s="6" t="s">
        <v>9</v>
      </c>
      <c r="F355" s="6" t="str">
        <f>"陈慧"</f>
        <v>陈慧</v>
      </c>
      <c r="G355" s="6" t="str">
        <f t="shared" ref="G355:G361" si="85">"女"</f>
        <v>女</v>
      </c>
    </row>
    <row r="356" customHeight="1" spans="1:7">
      <c r="A356" s="6">
        <v>354</v>
      </c>
      <c r="B356" s="6" t="str">
        <f>"72072024112711115172426"</f>
        <v>72072024112711115172426</v>
      </c>
      <c r="C356" s="6" t="str">
        <f t="shared" si="83"/>
        <v>0102</v>
      </c>
      <c r="D356" s="6" t="s">
        <v>10</v>
      </c>
      <c r="E356" s="6" t="s">
        <v>9</v>
      </c>
      <c r="F356" s="6" t="str">
        <f>"邢增臣"</f>
        <v>邢增臣</v>
      </c>
      <c r="G356" s="6" t="str">
        <f t="shared" si="84"/>
        <v>男</v>
      </c>
    </row>
    <row r="357" customHeight="1" spans="1:7">
      <c r="A357" s="6">
        <v>355</v>
      </c>
      <c r="B357" s="6" t="str">
        <f>"72072024112719445274432"</f>
        <v>72072024112719445274432</v>
      </c>
      <c r="C357" s="6" t="str">
        <f t="shared" si="83"/>
        <v>0102</v>
      </c>
      <c r="D357" s="6" t="s">
        <v>10</v>
      </c>
      <c r="E357" s="6" t="s">
        <v>9</v>
      </c>
      <c r="F357" s="6" t="str">
        <f>"麦宜桐"</f>
        <v>麦宜桐</v>
      </c>
      <c r="G357" s="6" t="str">
        <f t="shared" si="84"/>
        <v>男</v>
      </c>
    </row>
    <row r="358" customHeight="1" spans="1:7">
      <c r="A358" s="6">
        <v>356</v>
      </c>
      <c r="B358" s="6" t="str">
        <f>"72072024112622141171159"</f>
        <v>72072024112622141171159</v>
      </c>
      <c r="C358" s="6" t="str">
        <f t="shared" si="83"/>
        <v>0102</v>
      </c>
      <c r="D358" s="6" t="s">
        <v>10</v>
      </c>
      <c r="E358" s="6" t="s">
        <v>9</v>
      </c>
      <c r="F358" s="6" t="str">
        <f>"陈政娇"</f>
        <v>陈政娇</v>
      </c>
      <c r="G358" s="6" t="str">
        <f t="shared" si="85"/>
        <v>女</v>
      </c>
    </row>
    <row r="359" customHeight="1" spans="1:7">
      <c r="A359" s="6">
        <v>357</v>
      </c>
      <c r="B359" s="6" t="str">
        <f>"72072024112710034972029"</f>
        <v>72072024112710034972029</v>
      </c>
      <c r="C359" s="6" t="str">
        <f t="shared" si="83"/>
        <v>0102</v>
      </c>
      <c r="D359" s="6" t="s">
        <v>10</v>
      </c>
      <c r="E359" s="6" t="s">
        <v>9</v>
      </c>
      <c r="F359" s="6" t="str">
        <f>"王政基"</f>
        <v>王政基</v>
      </c>
      <c r="G359" s="6" t="str">
        <f t="shared" ref="G359:G364" si="86">"男"</f>
        <v>男</v>
      </c>
    </row>
    <row r="360" customHeight="1" spans="1:7">
      <c r="A360" s="6">
        <v>358</v>
      </c>
      <c r="B360" s="6" t="str">
        <f>"72072024112709495171942"</f>
        <v>72072024112709495171942</v>
      </c>
      <c r="C360" s="6" t="str">
        <f t="shared" si="83"/>
        <v>0102</v>
      </c>
      <c r="D360" s="6" t="s">
        <v>10</v>
      </c>
      <c r="E360" s="6" t="s">
        <v>9</v>
      </c>
      <c r="F360" s="6" t="str">
        <f>"赵作君"</f>
        <v>赵作君</v>
      </c>
      <c r="G360" s="6" t="str">
        <f t="shared" si="85"/>
        <v>女</v>
      </c>
    </row>
    <row r="361" customHeight="1" spans="1:7">
      <c r="A361" s="6">
        <v>359</v>
      </c>
      <c r="B361" s="6" t="str">
        <f>"72072024112723030475202"</f>
        <v>72072024112723030475202</v>
      </c>
      <c r="C361" s="6" t="str">
        <f t="shared" si="83"/>
        <v>0102</v>
      </c>
      <c r="D361" s="6" t="s">
        <v>10</v>
      </c>
      <c r="E361" s="6" t="s">
        <v>9</v>
      </c>
      <c r="F361" s="6" t="str">
        <f>"李盈盈"</f>
        <v>李盈盈</v>
      </c>
      <c r="G361" s="6" t="str">
        <f t="shared" si="85"/>
        <v>女</v>
      </c>
    </row>
    <row r="362" customHeight="1" spans="1:7">
      <c r="A362" s="6">
        <v>360</v>
      </c>
      <c r="B362" s="6" t="str">
        <f>"72072024112722540275173"</f>
        <v>72072024112722540275173</v>
      </c>
      <c r="C362" s="6" t="str">
        <f t="shared" si="83"/>
        <v>0102</v>
      </c>
      <c r="D362" s="6" t="s">
        <v>10</v>
      </c>
      <c r="E362" s="6" t="s">
        <v>9</v>
      </c>
      <c r="F362" s="6" t="str">
        <f>"陈会祺"</f>
        <v>陈会祺</v>
      </c>
      <c r="G362" s="6" t="str">
        <f t="shared" si="86"/>
        <v>男</v>
      </c>
    </row>
    <row r="363" customHeight="1" spans="1:7">
      <c r="A363" s="6">
        <v>361</v>
      </c>
      <c r="B363" s="6" t="str">
        <f>"72072024112723304475268"</f>
        <v>72072024112723304475268</v>
      </c>
      <c r="C363" s="6" t="str">
        <f t="shared" si="83"/>
        <v>0102</v>
      </c>
      <c r="D363" s="6" t="s">
        <v>10</v>
      </c>
      <c r="E363" s="6" t="s">
        <v>9</v>
      </c>
      <c r="F363" s="6" t="str">
        <f>"徐济颖"</f>
        <v>徐济颖</v>
      </c>
      <c r="G363" s="6" t="str">
        <f t="shared" si="86"/>
        <v>男</v>
      </c>
    </row>
    <row r="364" customHeight="1" spans="1:7">
      <c r="A364" s="6">
        <v>362</v>
      </c>
      <c r="B364" s="6" t="str">
        <f>"72072024112522071566717"</f>
        <v>72072024112522071566717</v>
      </c>
      <c r="C364" s="6" t="str">
        <f t="shared" si="83"/>
        <v>0102</v>
      </c>
      <c r="D364" s="6" t="s">
        <v>10</v>
      </c>
      <c r="E364" s="6" t="s">
        <v>9</v>
      </c>
      <c r="F364" s="6" t="str">
        <f>"羊翔"</f>
        <v>羊翔</v>
      </c>
      <c r="G364" s="6" t="str">
        <f t="shared" si="86"/>
        <v>男</v>
      </c>
    </row>
    <row r="365" customHeight="1" spans="1:7">
      <c r="A365" s="6">
        <v>363</v>
      </c>
      <c r="B365" s="6" t="str">
        <f>"72072024112710562572340"</f>
        <v>72072024112710562572340</v>
      </c>
      <c r="C365" s="6" t="str">
        <f t="shared" si="83"/>
        <v>0102</v>
      </c>
      <c r="D365" s="6" t="s">
        <v>10</v>
      </c>
      <c r="E365" s="6" t="s">
        <v>9</v>
      </c>
      <c r="F365" s="6" t="str">
        <f>"麦青青"</f>
        <v>麦青青</v>
      </c>
      <c r="G365" s="6" t="str">
        <f t="shared" ref="G365:G370" si="87">"女"</f>
        <v>女</v>
      </c>
    </row>
    <row r="366" customHeight="1" spans="1:7">
      <c r="A366" s="6">
        <v>364</v>
      </c>
      <c r="B366" s="6" t="str">
        <f>"72072024112800033175316"</f>
        <v>72072024112800033175316</v>
      </c>
      <c r="C366" s="6" t="str">
        <f t="shared" si="83"/>
        <v>0102</v>
      </c>
      <c r="D366" s="6" t="s">
        <v>10</v>
      </c>
      <c r="E366" s="6" t="s">
        <v>9</v>
      </c>
      <c r="F366" s="6" t="str">
        <f>"王宗璜"</f>
        <v>王宗璜</v>
      </c>
      <c r="G366" s="6" t="str">
        <f t="shared" ref="G366:G369" si="88">"男"</f>
        <v>男</v>
      </c>
    </row>
    <row r="367" customHeight="1" spans="1:7">
      <c r="A367" s="6">
        <v>365</v>
      </c>
      <c r="B367" s="6" t="str">
        <f>"72072024112809372775951"</f>
        <v>72072024112809372775951</v>
      </c>
      <c r="C367" s="6" t="str">
        <f t="shared" si="83"/>
        <v>0102</v>
      </c>
      <c r="D367" s="6" t="s">
        <v>10</v>
      </c>
      <c r="E367" s="6" t="s">
        <v>9</v>
      </c>
      <c r="F367" s="6" t="str">
        <f>"黎怡"</f>
        <v>黎怡</v>
      </c>
      <c r="G367" s="6" t="str">
        <f t="shared" si="87"/>
        <v>女</v>
      </c>
    </row>
    <row r="368" customHeight="1" spans="1:7">
      <c r="A368" s="6">
        <v>366</v>
      </c>
      <c r="B368" s="6" t="str">
        <f>"72072024112521052666454"</f>
        <v>72072024112521052666454</v>
      </c>
      <c r="C368" s="6" t="str">
        <f t="shared" si="83"/>
        <v>0102</v>
      </c>
      <c r="D368" s="6" t="s">
        <v>10</v>
      </c>
      <c r="E368" s="6" t="s">
        <v>9</v>
      </c>
      <c r="F368" s="6" t="str">
        <f>"符天宇"</f>
        <v>符天宇</v>
      </c>
      <c r="G368" s="6" t="str">
        <f t="shared" si="88"/>
        <v>男</v>
      </c>
    </row>
    <row r="369" customHeight="1" spans="1:7">
      <c r="A369" s="6">
        <v>367</v>
      </c>
      <c r="B369" s="6" t="str">
        <f>"72072024112211435952875"</f>
        <v>72072024112211435952875</v>
      </c>
      <c r="C369" s="6" t="str">
        <f t="shared" si="83"/>
        <v>0102</v>
      </c>
      <c r="D369" s="6" t="s">
        <v>10</v>
      </c>
      <c r="E369" s="6" t="s">
        <v>9</v>
      </c>
      <c r="F369" s="6" t="str">
        <f>"文兴府"</f>
        <v>文兴府</v>
      </c>
      <c r="G369" s="6" t="str">
        <f t="shared" si="88"/>
        <v>男</v>
      </c>
    </row>
    <row r="370" customHeight="1" spans="1:7">
      <c r="A370" s="6">
        <v>368</v>
      </c>
      <c r="B370" s="6" t="str">
        <f>"72072024112808560475655"</f>
        <v>72072024112808560475655</v>
      </c>
      <c r="C370" s="6" t="str">
        <f t="shared" si="83"/>
        <v>0102</v>
      </c>
      <c r="D370" s="6" t="s">
        <v>10</v>
      </c>
      <c r="E370" s="6" t="s">
        <v>9</v>
      </c>
      <c r="F370" s="6" t="str">
        <f>"薛春花"</f>
        <v>薛春花</v>
      </c>
      <c r="G370" s="6" t="str">
        <f t="shared" si="87"/>
        <v>女</v>
      </c>
    </row>
    <row r="371" customHeight="1" spans="1:7">
      <c r="A371" s="6">
        <v>369</v>
      </c>
      <c r="B371" s="6" t="str">
        <f>"72072024112413152057396"</f>
        <v>72072024112413152057396</v>
      </c>
      <c r="C371" s="6" t="str">
        <f t="shared" si="83"/>
        <v>0102</v>
      </c>
      <c r="D371" s="6" t="s">
        <v>10</v>
      </c>
      <c r="E371" s="6" t="s">
        <v>9</v>
      </c>
      <c r="F371" s="6" t="str">
        <f>"林豪"</f>
        <v>林豪</v>
      </c>
      <c r="G371" s="6" t="str">
        <f>"男"</f>
        <v>男</v>
      </c>
    </row>
    <row r="372" customHeight="1" spans="1:7">
      <c r="A372" s="6">
        <v>370</v>
      </c>
      <c r="B372" s="6" t="str">
        <f>"72072024112809522276055"</f>
        <v>72072024112809522276055</v>
      </c>
      <c r="C372" s="6" t="str">
        <f t="shared" si="83"/>
        <v>0102</v>
      </c>
      <c r="D372" s="6" t="s">
        <v>10</v>
      </c>
      <c r="E372" s="6" t="s">
        <v>9</v>
      </c>
      <c r="F372" s="6" t="str">
        <f>"邢日意"</f>
        <v>邢日意</v>
      </c>
      <c r="G372" s="6" t="str">
        <f t="shared" ref="G372:G376" si="89">"女"</f>
        <v>女</v>
      </c>
    </row>
    <row r="373" customHeight="1" spans="1:7">
      <c r="A373" s="6">
        <v>371</v>
      </c>
      <c r="B373" s="6" t="str">
        <f>"72072024112711371272549"</f>
        <v>72072024112711371272549</v>
      </c>
      <c r="C373" s="6" t="str">
        <f t="shared" si="83"/>
        <v>0102</v>
      </c>
      <c r="D373" s="6" t="s">
        <v>10</v>
      </c>
      <c r="E373" s="6" t="s">
        <v>9</v>
      </c>
      <c r="F373" s="6" t="str">
        <f>"周岐懿"</f>
        <v>周岐懿</v>
      </c>
      <c r="G373" s="6" t="str">
        <f t="shared" ref="G373:G378" si="90">"男"</f>
        <v>男</v>
      </c>
    </row>
    <row r="374" customHeight="1" spans="1:7">
      <c r="A374" s="6">
        <v>372</v>
      </c>
      <c r="B374" s="6" t="str">
        <f>"72072024112722284575082"</f>
        <v>72072024112722284575082</v>
      </c>
      <c r="C374" s="6" t="str">
        <f t="shared" si="83"/>
        <v>0102</v>
      </c>
      <c r="D374" s="6" t="s">
        <v>10</v>
      </c>
      <c r="E374" s="6" t="s">
        <v>9</v>
      </c>
      <c r="F374" s="6" t="str">
        <f>"符稀侨"</f>
        <v>符稀侨</v>
      </c>
      <c r="G374" s="6" t="str">
        <f t="shared" si="89"/>
        <v>女</v>
      </c>
    </row>
    <row r="375" customHeight="1" spans="1:7">
      <c r="A375" s="6">
        <v>373</v>
      </c>
      <c r="B375" s="6" t="str">
        <f>"72072024112716593973882"</f>
        <v>72072024112716593973882</v>
      </c>
      <c r="C375" s="6" t="str">
        <f t="shared" si="83"/>
        <v>0102</v>
      </c>
      <c r="D375" s="6" t="s">
        <v>10</v>
      </c>
      <c r="E375" s="6" t="s">
        <v>9</v>
      </c>
      <c r="F375" s="6" t="str">
        <f>"林柔"</f>
        <v>林柔</v>
      </c>
      <c r="G375" s="6" t="str">
        <f t="shared" si="89"/>
        <v>女</v>
      </c>
    </row>
    <row r="376" customHeight="1" spans="1:7">
      <c r="A376" s="6">
        <v>374</v>
      </c>
      <c r="B376" s="6" t="str">
        <f>"72072024112811084876594"</f>
        <v>72072024112811084876594</v>
      </c>
      <c r="C376" s="6" t="str">
        <f t="shared" si="83"/>
        <v>0102</v>
      </c>
      <c r="D376" s="6" t="s">
        <v>10</v>
      </c>
      <c r="E376" s="6" t="s">
        <v>9</v>
      </c>
      <c r="F376" s="6" t="str">
        <f>"吉霞"</f>
        <v>吉霞</v>
      </c>
      <c r="G376" s="6" t="str">
        <f t="shared" si="89"/>
        <v>女</v>
      </c>
    </row>
    <row r="377" customHeight="1" spans="1:7">
      <c r="A377" s="6">
        <v>375</v>
      </c>
      <c r="B377" s="6" t="str">
        <f>"72072024112812284076996"</f>
        <v>72072024112812284076996</v>
      </c>
      <c r="C377" s="6" t="str">
        <f t="shared" si="83"/>
        <v>0102</v>
      </c>
      <c r="D377" s="6" t="s">
        <v>10</v>
      </c>
      <c r="E377" s="6" t="s">
        <v>9</v>
      </c>
      <c r="F377" s="6" t="str">
        <f>"周垂聪"</f>
        <v>周垂聪</v>
      </c>
      <c r="G377" s="6" t="str">
        <f t="shared" si="90"/>
        <v>男</v>
      </c>
    </row>
    <row r="378" customHeight="1" spans="1:7">
      <c r="A378" s="6">
        <v>376</v>
      </c>
      <c r="B378" s="6" t="str">
        <f>"72072024112810561376506"</f>
        <v>72072024112810561376506</v>
      </c>
      <c r="C378" s="6" t="str">
        <f t="shared" si="83"/>
        <v>0102</v>
      </c>
      <c r="D378" s="6" t="s">
        <v>10</v>
      </c>
      <c r="E378" s="6" t="s">
        <v>9</v>
      </c>
      <c r="F378" s="6" t="str">
        <f>"曾学"</f>
        <v>曾学</v>
      </c>
      <c r="G378" s="6" t="str">
        <f t="shared" si="90"/>
        <v>男</v>
      </c>
    </row>
    <row r="379" customHeight="1" spans="1:7">
      <c r="A379" s="6">
        <v>377</v>
      </c>
      <c r="B379" s="6" t="str">
        <f>"72072024112812560477158"</f>
        <v>72072024112812560477158</v>
      </c>
      <c r="C379" s="6" t="str">
        <f t="shared" si="83"/>
        <v>0102</v>
      </c>
      <c r="D379" s="6" t="s">
        <v>10</v>
      </c>
      <c r="E379" s="6" t="s">
        <v>9</v>
      </c>
      <c r="F379" s="6" t="str">
        <f>"林圆圆"</f>
        <v>林圆圆</v>
      </c>
      <c r="G379" s="6" t="str">
        <f t="shared" ref="G379:G386" si="91">"女"</f>
        <v>女</v>
      </c>
    </row>
    <row r="380" customHeight="1" spans="1:7">
      <c r="A380" s="6">
        <v>378</v>
      </c>
      <c r="B380" s="6" t="str">
        <f>"72072024112812540077140"</f>
        <v>72072024112812540077140</v>
      </c>
      <c r="C380" s="6" t="str">
        <f t="shared" si="83"/>
        <v>0102</v>
      </c>
      <c r="D380" s="6" t="s">
        <v>10</v>
      </c>
      <c r="E380" s="6" t="s">
        <v>9</v>
      </c>
      <c r="F380" s="6" t="str">
        <f>"陈毓姬"</f>
        <v>陈毓姬</v>
      </c>
      <c r="G380" s="6" t="str">
        <f t="shared" si="91"/>
        <v>女</v>
      </c>
    </row>
    <row r="381" customHeight="1" spans="1:7">
      <c r="A381" s="6">
        <v>379</v>
      </c>
      <c r="B381" s="6" t="str">
        <f>"72072024112813424777359"</f>
        <v>72072024112813424777359</v>
      </c>
      <c r="C381" s="6" t="str">
        <f t="shared" si="83"/>
        <v>0102</v>
      </c>
      <c r="D381" s="6" t="s">
        <v>10</v>
      </c>
      <c r="E381" s="6" t="s">
        <v>9</v>
      </c>
      <c r="F381" s="6" t="str">
        <f>"杨红梅"</f>
        <v>杨红梅</v>
      </c>
      <c r="G381" s="6" t="str">
        <f t="shared" si="91"/>
        <v>女</v>
      </c>
    </row>
    <row r="382" customHeight="1" spans="1:7">
      <c r="A382" s="6">
        <v>380</v>
      </c>
      <c r="B382" s="6" t="str">
        <f>"72072024112814131177494"</f>
        <v>72072024112814131177494</v>
      </c>
      <c r="C382" s="6" t="str">
        <f t="shared" si="83"/>
        <v>0102</v>
      </c>
      <c r="D382" s="6" t="s">
        <v>10</v>
      </c>
      <c r="E382" s="6" t="s">
        <v>9</v>
      </c>
      <c r="F382" s="6" t="str">
        <f>"张雅"</f>
        <v>张雅</v>
      </c>
      <c r="G382" s="6" t="str">
        <f t="shared" si="91"/>
        <v>女</v>
      </c>
    </row>
    <row r="383" customHeight="1" spans="1:7">
      <c r="A383" s="6">
        <v>381</v>
      </c>
      <c r="B383" s="6" t="str">
        <f>"72072024112815040977844"</f>
        <v>72072024112815040977844</v>
      </c>
      <c r="C383" s="6" t="str">
        <f t="shared" si="83"/>
        <v>0102</v>
      </c>
      <c r="D383" s="6" t="s">
        <v>10</v>
      </c>
      <c r="E383" s="6" t="s">
        <v>9</v>
      </c>
      <c r="F383" s="6" t="str">
        <f>"符式琳"</f>
        <v>符式琳</v>
      </c>
      <c r="G383" s="6" t="str">
        <f t="shared" si="91"/>
        <v>女</v>
      </c>
    </row>
    <row r="384" customHeight="1" spans="1:7">
      <c r="A384" s="6">
        <v>382</v>
      </c>
      <c r="B384" s="6" t="str">
        <f>"72072024112815045777856"</f>
        <v>72072024112815045777856</v>
      </c>
      <c r="C384" s="6" t="str">
        <f t="shared" si="83"/>
        <v>0102</v>
      </c>
      <c r="D384" s="6" t="s">
        <v>10</v>
      </c>
      <c r="E384" s="6" t="s">
        <v>9</v>
      </c>
      <c r="F384" s="6" t="str">
        <f>"王艺桦"</f>
        <v>王艺桦</v>
      </c>
      <c r="G384" s="6" t="str">
        <f t="shared" si="91"/>
        <v>女</v>
      </c>
    </row>
    <row r="385" customHeight="1" spans="1:7">
      <c r="A385" s="6">
        <v>383</v>
      </c>
      <c r="B385" s="6" t="str">
        <f>"72072024112814332677616"</f>
        <v>72072024112814332677616</v>
      </c>
      <c r="C385" s="6" t="str">
        <f t="shared" si="83"/>
        <v>0102</v>
      </c>
      <c r="D385" s="6" t="s">
        <v>10</v>
      </c>
      <c r="E385" s="6" t="s">
        <v>9</v>
      </c>
      <c r="F385" s="6" t="str">
        <f>"吴树羽"</f>
        <v>吴树羽</v>
      </c>
      <c r="G385" s="6" t="str">
        <f t="shared" si="91"/>
        <v>女</v>
      </c>
    </row>
    <row r="386" customHeight="1" spans="1:7">
      <c r="A386" s="6">
        <v>384</v>
      </c>
      <c r="B386" s="6" t="str">
        <f>"72072024112816332278609"</f>
        <v>72072024112816332278609</v>
      </c>
      <c r="C386" s="6" t="str">
        <f t="shared" si="83"/>
        <v>0102</v>
      </c>
      <c r="D386" s="6" t="s">
        <v>10</v>
      </c>
      <c r="E386" s="6" t="s">
        <v>9</v>
      </c>
      <c r="F386" s="6" t="str">
        <f>"王雯锦"</f>
        <v>王雯锦</v>
      </c>
      <c r="G386" s="6" t="str">
        <f t="shared" si="91"/>
        <v>女</v>
      </c>
    </row>
    <row r="387" customHeight="1" spans="1:7">
      <c r="A387" s="6">
        <v>385</v>
      </c>
      <c r="B387" s="6" t="str">
        <f>"72072024112519540266108"</f>
        <v>72072024112519540266108</v>
      </c>
      <c r="C387" s="6" t="str">
        <f t="shared" si="83"/>
        <v>0102</v>
      </c>
      <c r="D387" s="6" t="s">
        <v>10</v>
      </c>
      <c r="E387" s="6" t="s">
        <v>9</v>
      </c>
      <c r="F387" s="6" t="str">
        <f>"尹春召"</f>
        <v>尹春召</v>
      </c>
      <c r="G387" s="6" t="str">
        <f t="shared" ref="G387:G390" si="92">"男"</f>
        <v>男</v>
      </c>
    </row>
    <row r="388" customHeight="1" spans="1:7">
      <c r="A388" s="6">
        <v>386</v>
      </c>
      <c r="B388" s="6" t="str">
        <f>"72072024112816225478530"</f>
        <v>72072024112816225478530</v>
      </c>
      <c r="C388" s="6" t="str">
        <f t="shared" si="83"/>
        <v>0102</v>
      </c>
      <c r="D388" s="6" t="s">
        <v>10</v>
      </c>
      <c r="E388" s="6" t="s">
        <v>9</v>
      </c>
      <c r="F388" s="6" t="str">
        <f>"陈盛俊"</f>
        <v>陈盛俊</v>
      </c>
      <c r="G388" s="6" t="str">
        <f t="shared" si="92"/>
        <v>男</v>
      </c>
    </row>
    <row r="389" customHeight="1" spans="1:7">
      <c r="A389" s="6">
        <v>387</v>
      </c>
      <c r="B389" s="6" t="str">
        <f>"72072024112817155778909"</f>
        <v>72072024112817155778909</v>
      </c>
      <c r="C389" s="6" t="str">
        <f t="shared" si="83"/>
        <v>0102</v>
      </c>
      <c r="D389" s="6" t="s">
        <v>10</v>
      </c>
      <c r="E389" s="6" t="s">
        <v>9</v>
      </c>
      <c r="F389" s="6" t="str">
        <f>"钟慧"</f>
        <v>钟慧</v>
      </c>
      <c r="G389" s="6" t="str">
        <f t="shared" ref="G389:G393" si="93">"女"</f>
        <v>女</v>
      </c>
    </row>
    <row r="390" customHeight="1" spans="1:7">
      <c r="A390" s="6">
        <v>388</v>
      </c>
      <c r="B390" s="6" t="str">
        <f>"72072024112812542477146"</f>
        <v>72072024112812542477146</v>
      </c>
      <c r="C390" s="6" t="str">
        <f t="shared" si="83"/>
        <v>0102</v>
      </c>
      <c r="D390" s="6" t="s">
        <v>10</v>
      </c>
      <c r="E390" s="6" t="s">
        <v>9</v>
      </c>
      <c r="F390" s="6" t="str">
        <f>"王身东"</f>
        <v>王身东</v>
      </c>
      <c r="G390" s="6" t="str">
        <f t="shared" si="92"/>
        <v>男</v>
      </c>
    </row>
    <row r="391" customHeight="1" spans="1:7">
      <c r="A391" s="6">
        <v>389</v>
      </c>
      <c r="B391" s="6" t="str">
        <f>"72072024112817130978898"</f>
        <v>72072024112817130978898</v>
      </c>
      <c r="C391" s="6" t="str">
        <f t="shared" si="83"/>
        <v>0102</v>
      </c>
      <c r="D391" s="6" t="s">
        <v>10</v>
      </c>
      <c r="E391" s="6" t="s">
        <v>9</v>
      </c>
      <c r="F391" s="6" t="str">
        <f>"郑方圆"</f>
        <v>郑方圆</v>
      </c>
      <c r="G391" s="6" t="str">
        <f t="shared" si="93"/>
        <v>女</v>
      </c>
    </row>
    <row r="392" customHeight="1" spans="1:7">
      <c r="A392" s="6">
        <v>390</v>
      </c>
      <c r="B392" s="6" t="str">
        <f>"72072024112707164271428"</f>
        <v>72072024112707164271428</v>
      </c>
      <c r="C392" s="6" t="str">
        <f t="shared" si="83"/>
        <v>0102</v>
      </c>
      <c r="D392" s="6" t="s">
        <v>10</v>
      </c>
      <c r="E392" s="6" t="s">
        <v>9</v>
      </c>
      <c r="F392" s="6" t="str">
        <f>"林配竹"</f>
        <v>林配竹</v>
      </c>
      <c r="G392" s="6" t="str">
        <f t="shared" si="93"/>
        <v>女</v>
      </c>
    </row>
    <row r="393" customHeight="1" spans="1:7">
      <c r="A393" s="6">
        <v>391</v>
      </c>
      <c r="B393" s="6" t="str">
        <f>"72072024112819211879723"</f>
        <v>72072024112819211879723</v>
      </c>
      <c r="C393" s="6" t="str">
        <f t="shared" si="83"/>
        <v>0102</v>
      </c>
      <c r="D393" s="6" t="s">
        <v>10</v>
      </c>
      <c r="E393" s="6" t="s">
        <v>9</v>
      </c>
      <c r="F393" s="6" t="str">
        <f>"陈俏君"</f>
        <v>陈俏君</v>
      </c>
      <c r="G393" s="6" t="str">
        <f t="shared" si="93"/>
        <v>女</v>
      </c>
    </row>
    <row r="394" customHeight="1" spans="1:7">
      <c r="A394" s="6">
        <v>392</v>
      </c>
      <c r="B394" s="6" t="str">
        <f>"72072024112819250579752"</f>
        <v>72072024112819250579752</v>
      </c>
      <c r="C394" s="6" t="str">
        <f t="shared" si="83"/>
        <v>0102</v>
      </c>
      <c r="D394" s="6" t="s">
        <v>10</v>
      </c>
      <c r="E394" s="6" t="s">
        <v>9</v>
      </c>
      <c r="F394" s="6" t="str">
        <f>"陈慧丰"</f>
        <v>陈慧丰</v>
      </c>
      <c r="G394" s="6" t="str">
        <f t="shared" ref="G394:G397" si="94">"男"</f>
        <v>男</v>
      </c>
    </row>
    <row r="395" customHeight="1" spans="1:7">
      <c r="A395" s="6">
        <v>393</v>
      </c>
      <c r="B395" s="6" t="str">
        <f>"72072024112717375474016"</f>
        <v>72072024112717375474016</v>
      </c>
      <c r="C395" s="6" t="str">
        <f t="shared" si="83"/>
        <v>0102</v>
      </c>
      <c r="D395" s="6" t="s">
        <v>10</v>
      </c>
      <c r="E395" s="6" t="s">
        <v>9</v>
      </c>
      <c r="F395" s="6" t="str">
        <f>"陈业威"</f>
        <v>陈业威</v>
      </c>
      <c r="G395" s="6" t="str">
        <f t="shared" si="94"/>
        <v>男</v>
      </c>
    </row>
    <row r="396" customHeight="1" spans="1:7">
      <c r="A396" s="6">
        <v>394</v>
      </c>
      <c r="B396" s="6" t="str">
        <f>"72072024112819011079553"</f>
        <v>72072024112819011079553</v>
      </c>
      <c r="C396" s="6" t="str">
        <f t="shared" si="83"/>
        <v>0102</v>
      </c>
      <c r="D396" s="6" t="s">
        <v>10</v>
      </c>
      <c r="E396" s="6" t="s">
        <v>9</v>
      </c>
      <c r="F396" s="6" t="str">
        <f>"麦正青"</f>
        <v>麦正青</v>
      </c>
      <c r="G396" s="6" t="str">
        <f t="shared" ref="G396:G402" si="95">"女"</f>
        <v>女</v>
      </c>
    </row>
    <row r="397" customHeight="1" spans="1:7">
      <c r="A397" s="6">
        <v>395</v>
      </c>
      <c r="B397" s="6" t="str">
        <f>"72072024112718585774259"</f>
        <v>72072024112718585774259</v>
      </c>
      <c r="C397" s="6" t="str">
        <f t="shared" si="83"/>
        <v>0102</v>
      </c>
      <c r="D397" s="6" t="s">
        <v>10</v>
      </c>
      <c r="E397" s="6" t="s">
        <v>9</v>
      </c>
      <c r="F397" s="6" t="str">
        <f>"王身义"</f>
        <v>王身义</v>
      </c>
      <c r="G397" s="6" t="str">
        <f t="shared" si="94"/>
        <v>男</v>
      </c>
    </row>
    <row r="398" customHeight="1" spans="1:7">
      <c r="A398" s="6">
        <v>396</v>
      </c>
      <c r="B398" s="6" t="str">
        <f>"72072024112620560770910"</f>
        <v>72072024112620560770910</v>
      </c>
      <c r="C398" s="6" t="str">
        <f t="shared" si="83"/>
        <v>0102</v>
      </c>
      <c r="D398" s="6" t="s">
        <v>10</v>
      </c>
      <c r="E398" s="6" t="s">
        <v>9</v>
      </c>
      <c r="F398" s="6" t="str">
        <f>"麦思怀"</f>
        <v>麦思怀</v>
      </c>
      <c r="G398" s="6" t="str">
        <f t="shared" si="95"/>
        <v>女</v>
      </c>
    </row>
    <row r="399" customHeight="1" spans="1:7">
      <c r="A399" s="6">
        <v>397</v>
      </c>
      <c r="B399" s="6" t="str">
        <f>"72072024112819564380020"</f>
        <v>72072024112819564380020</v>
      </c>
      <c r="C399" s="6" t="str">
        <f t="shared" si="83"/>
        <v>0102</v>
      </c>
      <c r="D399" s="6" t="s">
        <v>10</v>
      </c>
      <c r="E399" s="6" t="s">
        <v>9</v>
      </c>
      <c r="F399" s="6" t="str">
        <f>"郑慧婷"</f>
        <v>郑慧婷</v>
      </c>
      <c r="G399" s="6" t="str">
        <f t="shared" si="95"/>
        <v>女</v>
      </c>
    </row>
    <row r="400" customHeight="1" spans="1:7">
      <c r="A400" s="6">
        <v>398</v>
      </c>
      <c r="B400" s="6" t="str">
        <f>"72072024112820574180516"</f>
        <v>72072024112820574180516</v>
      </c>
      <c r="C400" s="6" t="str">
        <f t="shared" si="83"/>
        <v>0102</v>
      </c>
      <c r="D400" s="6" t="s">
        <v>10</v>
      </c>
      <c r="E400" s="6" t="s">
        <v>9</v>
      </c>
      <c r="F400" s="6" t="str">
        <f>"林丽果"</f>
        <v>林丽果</v>
      </c>
      <c r="G400" s="6" t="str">
        <f t="shared" si="95"/>
        <v>女</v>
      </c>
    </row>
    <row r="401" customHeight="1" spans="1:7">
      <c r="A401" s="6">
        <v>399</v>
      </c>
      <c r="B401" s="6" t="str">
        <f>"72072024112821550381006"</f>
        <v>72072024112821550381006</v>
      </c>
      <c r="C401" s="6" t="str">
        <f t="shared" si="83"/>
        <v>0102</v>
      </c>
      <c r="D401" s="6" t="s">
        <v>10</v>
      </c>
      <c r="E401" s="6" t="s">
        <v>9</v>
      </c>
      <c r="F401" s="6" t="str">
        <f>"林丽菊"</f>
        <v>林丽菊</v>
      </c>
      <c r="G401" s="6" t="str">
        <f t="shared" si="95"/>
        <v>女</v>
      </c>
    </row>
    <row r="402" customHeight="1" spans="1:7">
      <c r="A402" s="6">
        <v>400</v>
      </c>
      <c r="B402" s="6" t="str">
        <f>"72072024112822243781288"</f>
        <v>72072024112822243781288</v>
      </c>
      <c r="C402" s="6" t="str">
        <f t="shared" si="83"/>
        <v>0102</v>
      </c>
      <c r="D402" s="6" t="s">
        <v>10</v>
      </c>
      <c r="E402" s="6" t="s">
        <v>9</v>
      </c>
      <c r="F402" s="6" t="str">
        <f>"周启珠"</f>
        <v>周启珠</v>
      </c>
      <c r="G402" s="6" t="str">
        <f t="shared" si="95"/>
        <v>女</v>
      </c>
    </row>
    <row r="403" customHeight="1" spans="1:7">
      <c r="A403" s="6">
        <v>401</v>
      </c>
      <c r="B403" s="6" t="str">
        <f>"72072024112822570381518"</f>
        <v>72072024112822570381518</v>
      </c>
      <c r="C403" s="6" t="str">
        <f t="shared" si="83"/>
        <v>0102</v>
      </c>
      <c r="D403" s="6" t="s">
        <v>10</v>
      </c>
      <c r="E403" s="6" t="s">
        <v>9</v>
      </c>
      <c r="F403" s="6" t="str">
        <f>"麦世粮"</f>
        <v>麦世粮</v>
      </c>
      <c r="G403" s="6" t="str">
        <f t="shared" ref="G403:G408" si="96">"男"</f>
        <v>男</v>
      </c>
    </row>
    <row r="404" customHeight="1" spans="1:7">
      <c r="A404" s="6">
        <v>402</v>
      </c>
      <c r="B404" s="6" t="str">
        <f>"72072024112515595464712"</f>
        <v>72072024112515595464712</v>
      </c>
      <c r="C404" s="6" t="str">
        <f t="shared" si="83"/>
        <v>0102</v>
      </c>
      <c r="D404" s="6" t="s">
        <v>10</v>
      </c>
      <c r="E404" s="6" t="s">
        <v>9</v>
      </c>
      <c r="F404" s="6" t="str">
        <f>"陈丽臣"</f>
        <v>陈丽臣</v>
      </c>
      <c r="G404" s="6" t="str">
        <f t="shared" ref="G404:G407" si="97">"女"</f>
        <v>女</v>
      </c>
    </row>
    <row r="405" customHeight="1" spans="1:7">
      <c r="A405" s="6">
        <v>403</v>
      </c>
      <c r="B405" s="6" t="str">
        <f>"72072024112822555381513"</f>
        <v>72072024112822555381513</v>
      </c>
      <c r="C405" s="6" t="str">
        <f t="shared" si="83"/>
        <v>0102</v>
      </c>
      <c r="D405" s="6" t="s">
        <v>10</v>
      </c>
      <c r="E405" s="6" t="s">
        <v>9</v>
      </c>
      <c r="F405" s="6" t="str">
        <f>"孙谋蓉"</f>
        <v>孙谋蓉</v>
      </c>
      <c r="G405" s="6" t="str">
        <f t="shared" si="97"/>
        <v>女</v>
      </c>
    </row>
    <row r="406" customHeight="1" spans="1:7">
      <c r="A406" s="6">
        <v>404</v>
      </c>
      <c r="B406" s="6" t="str">
        <f>"72072024112800165475332"</f>
        <v>72072024112800165475332</v>
      </c>
      <c r="C406" s="6" t="str">
        <f t="shared" si="83"/>
        <v>0102</v>
      </c>
      <c r="D406" s="6" t="s">
        <v>10</v>
      </c>
      <c r="E406" s="6" t="s">
        <v>9</v>
      </c>
      <c r="F406" s="6" t="str">
        <f>"陈余芬"</f>
        <v>陈余芬</v>
      </c>
      <c r="G406" s="6" t="str">
        <f t="shared" si="96"/>
        <v>男</v>
      </c>
    </row>
    <row r="407" customHeight="1" spans="1:7">
      <c r="A407" s="6">
        <v>405</v>
      </c>
      <c r="B407" s="6" t="str">
        <f>"72072024112822084381140"</f>
        <v>72072024112822084381140</v>
      </c>
      <c r="C407" s="6" t="str">
        <f t="shared" si="83"/>
        <v>0102</v>
      </c>
      <c r="D407" s="6" t="s">
        <v>10</v>
      </c>
      <c r="E407" s="6" t="s">
        <v>9</v>
      </c>
      <c r="F407" s="6" t="str">
        <f>"周存瑾"</f>
        <v>周存瑾</v>
      </c>
      <c r="G407" s="6" t="str">
        <f t="shared" si="97"/>
        <v>女</v>
      </c>
    </row>
    <row r="408" customHeight="1" spans="1:7">
      <c r="A408" s="6">
        <v>406</v>
      </c>
      <c r="B408" s="6" t="str">
        <f>"72072024112517470365529"</f>
        <v>72072024112517470365529</v>
      </c>
      <c r="C408" s="6" t="str">
        <f t="shared" si="83"/>
        <v>0102</v>
      </c>
      <c r="D408" s="6" t="s">
        <v>10</v>
      </c>
      <c r="E408" s="6" t="s">
        <v>9</v>
      </c>
      <c r="F408" s="6" t="str">
        <f>"林海善"</f>
        <v>林海善</v>
      </c>
      <c r="G408" s="6" t="str">
        <f t="shared" si="96"/>
        <v>男</v>
      </c>
    </row>
    <row r="409" customHeight="1" spans="1:7">
      <c r="A409" s="6">
        <v>407</v>
      </c>
      <c r="B409" s="6" t="str">
        <f>"72072024112823512881804"</f>
        <v>72072024112823512881804</v>
      </c>
      <c r="C409" s="6" t="str">
        <f t="shared" si="83"/>
        <v>0102</v>
      </c>
      <c r="D409" s="6" t="s">
        <v>10</v>
      </c>
      <c r="E409" s="6" t="s">
        <v>9</v>
      </c>
      <c r="F409" s="6" t="str">
        <f>"林俏"</f>
        <v>林俏</v>
      </c>
      <c r="G409" s="6" t="str">
        <f t="shared" ref="G409:G413" si="98">"女"</f>
        <v>女</v>
      </c>
    </row>
    <row r="410" customHeight="1" spans="1:7">
      <c r="A410" s="6">
        <v>408</v>
      </c>
      <c r="B410" s="6" t="str">
        <f>"72072024112900404181942"</f>
        <v>72072024112900404181942</v>
      </c>
      <c r="C410" s="6" t="str">
        <f t="shared" si="83"/>
        <v>0102</v>
      </c>
      <c r="D410" s="6" t="s">
        <v>10</v>
      </c>
      <c r="E410" s="6" t="s">
        <v>9</v>
      </c>
      <c r="F410" s="6" t="str">
        <f>"陈佳宋"</f>
        <v>陈佳宋</v>
      </c>
      <c r="G410" s="6" t="str">
        <f t="shared" ref="G410:G415" si="99">"男"</f>
        <v>男</v>
      </c>
    </row>
    <row r="411" customHeight="1" spans="1:7">
      <c r="A411" s="6">
        <v>409</v>
      </c>
      <c r="B411" s="6" t="str">
        <f>"72072024112807495475440"</f>
        <v>72072024112807495475440</v>
      </c>
      <c r="C411" s="6" t="str">
        <f t="shared" si="83"/>
        <v>0102</v>
      </c>
      <c r="D411" s="6" t="s">
        <v>10</v>
      </c>
      <c r="E411" s="6" t="s">
        <v>9</v>
      </c>
      <c r="F411" s="6" t="str">
        <f>"周永洁"</f>
        <v>周永洁</v>
      </c>
      <c r="G411" s="6" t="str">
        <f t="shared" si="98"/>
        <v>女</v>
      </c>
    </row>
    <row r="412" customHeight="1" spans="1:7">
      <c r="A412" s="6">
        <v>410</v>
      </c>
      <c r="B412" s="6" t="str">
        <f>"72072024112900134881875"</f>
        <v>72072024112900134881875</v>
      </c>
      <c r="C412" s="6" t="str">
        <f t="shared" si="83"/>
        <v>0102</v>
      </c>
      <c r="D412" s="6" t="s">
        <v>10</v>
      </c>
      <c r="E412" s="6" t="s">
        <v>9</v>
      </c>
      <c r="F412" s="6" t="str">
        <f>"陈星辰"</f>
        <v>陈星辰</v>
      </c>
      <c r="G412" s="6" t="str">
        <f t="shared" si="99"/>
        <v>男</v>
      </c>
    </row>
    <row r="413" customHeight="1" spans="1:7">
      <c r="A413" s="6">
        <v>411</v>
      </c>
      <c r="B413" s="6" t="str">
        <f>"72072024112819092979637"</f>
        <v>72072024112819092979637</v>
      </c>
      <c r="C413" s="6" t="str">
        <f t="shared" si="83"/>
        <v>0102</v>
      </c>
      <c r="D413" s="6" t="s">
        <v>10</v>
      </c>
      <c r="E413" s="6" t="s">
        <v>9</v>
      </c>
      <c r="F413" s="6" t="str">
        <f>"郭泽玉"</f>
        <v>郭泽玉</v>
      </c>
      <c r="G413" s="6" t="str">
        <f t="shared" si="98"/>
        <v>女</v>
      </c>
    </row>
    <row r="414" customHeight="1" spans="1:7">
      <c r="A414" s="6">
        <v>412</v>
      </c>
      <c r="B414" s="6" t="str">
        <f>"72072024112619291270601"</f>
        <v>72072024112619291270601</v>
      </c>
      <c r="C414" s="6" t="str">
        <f t="shared" si="83"/>
        <v>0102</v>
      </c>
      <c r="D414" s="6" t="s">
        <v>10</v>
      </c>
      <c r="E414" s="6" t="s">
        <v>9</v>
      </c>
      <c r="F414" s="6" t="str">
        <f>"张强"</f>
        <v>张强</v>
      </c>
      <c r="G414" s="6" t="str">
        <f t="shared" si="99"/>
        <v>男</v>
      </c>
    </row>
    <row r="415" customHeight="1" spans="1:7">
      <c r="A415" s="6">
        <v>413</v>
      </c>
      <c r="B415" s="6" t="str">
        <f>"72072024112909320183177"</f>
        <v>72072024112909320183177</v>
      </c>
      <c r="C415" s="6" t="str">
        <f t="shared" si="83"/>
        <v>0102</v>
      </c>
      <c r="D415" s="6" t="s">
        <v>10</v>
      </c>
      <c r="E415" s="6" t="s">
        <v>9</v>
      </c>
      <c r="F415" s="6" t="str">
        <f>"吴进城"</f>
        <v>吴进城</v>
      </c>
      <c r="G415" s="6" t="str">
        <f t="shared" si="99"/>
        <v>男</v>
      </c>
    </row>
    <row r="416" customHeight="1" spans="1:7">
      <c r="A416" s="6">
        <v>414</v>
      </c>
      <c r="B416" s="6" t="str">
        <f>"72072024112909583483667"</f>
        <v>72072024112909583483667</v>
      </c>
      <c r="C416" s="6" t="str">
        <f t="shared" ref="C416:C423" si="100">"0102"</f>
        <v>0102</v>
      </c>
      <c r="D416" s="6" t="s">
        <v>10</v>
      </c>
      <c r="E416" s="6" t="s">
        <v>9</v>
      </c>
      <c r="F416" s="6" t="str">
        <f>"黄花"</f>
        <v>黄花</v>
      </c>
      <c r="G416" s="6" t="str">
        <f t="shared" ref="G416:G421" si="101">"女"</f>
        <v>女</v>
      </c>
    </row>
    <row r="417" customHeight="1" spans="1:7">
      <c r="A417" s="6">
        <v>415</v>
      </c>
      <c r="B417" s="6" t="str">
        <f>"72072024112821152280661"</f>
        <v>72072024112821152280661</v>
      </c>
      <c r="C417" s="6" t="str">
        <f t="shared" si="100"/>
        <v>0102</v>
      </c>
      <c r="D417" s="6" t="s">
        <v>10</v>
      </c>
      <c r="E417" s="6" t="s">
        <v>9</v>
      </c>
      <c r="F417" s="6" t="str">
        <f>"陈少通"</f>
        <v>陈少通</v>
      </c>
      <c r="G417" s="6" t="str">
        <f>"男"</f>
        <v>男</v>
      </c>
    </row>
    <row r="418" customHeight="1" spans="1:7">
      <c r="A418" s="6">
        <v>416</v>
      </c>
      <c r="B418" s="6" t="str">
        <f>"72072024112822300281331"</f>
        <v>72072024112822300281331</v>
      </c>
      <c r="C418" s="6" t="str">
        <f t="shared" si="100"/>
        <v>0102</v>
      </c>
      <c r="D418" s="6" t="s">
        <v>10</v>
      </c>
      <c r="E418" s="6" t="s">
        <v>9</v>
      </c>
      <c r="F418" s="6" t="str">
        <f>"郑诗"</f>
        <v>郑诗</v>
      </c>
      <c r="G418" s="6" t="str">
        <f t="shared" si="101"/>
        <v>女</v>
      </c>
    </row>
    <row r="419" customHeight="1" spans="1:7">
      <c r="A419" s="6">
        <v>417</v>
      </c>
      <c r="B419" s="6" t="str">
        <f>"72072024112910030083732"</f>
        <v>72072024112910030083732</v>
      </c>
      <c r="C419" s="6" t="str">
        <f t="shared" si="100"/>
        <v>0102</v>
      </c>
      <c r="D419" s="6" t="s">
        <v>10</v>
      </c>
      <c r="E419" s="6" t="s">
        <v>9</v>
      </c>
      <c r="F419" s="6" t="str">
        <f>"郑辉莉"</f>
        <v>郑辉莉</v>
      </c>
      <c r="G419" s="6" t="str">
        <f t="shared" si="101"/>
        <v>女</v>
      </c>
    </row>
    <row r="420" customHeight="1" spans="1:7">
      <c r="A420" s="6">
        <v>418</v>
      </c>
      <c r="B420" s="6" t="str">
        <f>"72072024112909420283369"</f>
        <v>72072024112909420283369</v>
      </c>
      <c r="C420" s="6" t="str">
        <f t="shared" si="100"/>
        <v>0102</v>
      </c>
      <c r="D420" s="6" t="s">
        <v>10</v>
      </c>
      <c r="E420" s="6" t="s">
        <v>9</v>
      </c>
      <c r="F420" s="6" t="str">
        <f>"吉婉紫"</f>
        <v>吉婉紫</v>
      </c>
      <c r="G420" s="6" t="str">
        <f t="shared" si="101"/>
        <v>女</v>
      </c>
    </row>
    <row r="421" customHeight="1" spans="1:7">
      <c r="A421" s="6">
        <v>419</v>
      </c>
      <c r="B421" s="6" t="str">
        <f>"72072024112910565884596"</f>
        <v>72072024112910565884596</v>
      </c>
      <c r="C421" s="6" t="str">
        <f t="shared" si="100"/>
        <v>0102</v>
      </c>
      <c r="D421" s="6" t="s">
        <v>10</v>
      </c>
      <c r="E421" s="6" t="s">
        <v>9</v>
      </c>
      <c r="F421" s="6" t="str">
        <f>"林平娥"</f>
        <v>林平娥</v>
      </c>
      <c r="G421" s="6" t="str">
        <f t="shared" si="101"/>
        <v>女</v>
      </c>
    </row>
    <row r="422" customHeight="1" spans="1:7">
      <c r="A422" s="6">
        <v>420</v>
      </c>
      <c r="B422" s="6" t="str">
        <f>"72072024112909392383327"</f>
        <v>72072024112909392383327</v>
      </c>
      <c r="C422" s="6" t="str">
        <f t="shared" si="100"/>
        <v>0102</v>
      </c>
      <c r="D422" s="6" t="s">
        <v>10</v>
      </c>
      <c r="E422" s="6" t="s">
        <v>9</v>
      </c>
      <c r="F422" s="6" t="str">
        <f>"王咸颜"</f>
        <v>王咸颜</v>
      </c>
      <c r="G422" s="6" t="str">
        <f t="shared" ref="G422:G429" si="102">"男"</f>
        <v>男</v>
      </c>
    </row>
    <row r="423" customHeight="1" spans="1:7">
      <c r="A423" s="6">
        <v>421</v>
      </c>
      <c r="B423" s="6" t="str">
        <f>"72072024112911271385091"</f>
        <v>72072024112911271385091</v>
      </c>
      <c r="C423" s="6" t="str">
        <f t="shared" si="100"/>
        <v>0102</v>
      </c>
      <c r="D423" s="6" t="s">
        <v>10</v>
      </c>
      <c r="E423" s="6" t="s">
        <v>9</v>
      </c>
      <c r="F423" s="6" t="str">
        <f>"陈毓鹏"</f>
        <v>陈毓鹏</v>
      </c>
      <c r="G423" s="6" t="str">
        <f t="shared" si="102"/>
        <v>男</v>
      </c>
    </row>
    <row r="424" customHeight="1" spans="1:7">
      <c r="A424" s="6">
        <v>422</v>
      </c>
      <c r="B424" s="6" t="str">
        <f>"72072024112209471952437"</f>
        <v>72072024112209471952437</v>
      </c>
      <c r="C424" s="6" t="str">
        <f t="shared" ref="C424:C478" si="103">"0103"</f>
        <v>0103</v>
      </c>
      <c r="D424" s="6" t="s">
        <v>11</v>
      </c>
      <c r="E424" s="6" t="s">
        <v>9</v>
      </c>
      <c r="F424" s="6" t="str">
        <f>"邢锐"</f>
        <v>邢锐</v>
      </c>
      <c r="G424" s="6" t="str">
        <f t="shared" si="102"/>
        <v>男</v>
      </c>
    </row>
    <row r="425" customHeight="1" spans="1:7">
      <c r="A425" s="6">
        <v>423</v>
      </c>
      <c r="B425" s="6" t="str">
        <f>"72072024112210192852583"</f>
        <v>72072024112210192852583</v>
      </c>
      <c r="C425" s="6" t="str">
        <f t="shared" si="103"/>
        <v>0103</v>
      </c>
      <c r="D425" s="6" t="s">
        <v>11</v>
      </c>
      <c r="E425" s="6" t="s">
        <v>9</v>
      </c>
      <c r="F425" s="6" t="str">
        <f>"桂盟"</f>
        <v>桂盟</v>
      </c>
      <c r="G425" s="6" t="str">
        <f t="shared" si="102"/>
        <v>男</v>
      </c>
    </row>
    <row r="426" customHeight="1" spans="1:7">
      <c r="A426" s="6">
        <v>424</v>
      </c>
      <c r="B426" s="6" t="str">
        <f>"72072024112210373852652"</f>
        <v>72072024112210373852652</v>
      </c>
      <c r="C426" s="6" t="str">
        <f t="shared" si="103"/>
        <v>0103</v>
      </c>
      <c r="D426" s="6" t="s">
        <v>11</v>
      </c>
      <c r="E426" s="6" t="s">
        <v>9</v>
      </c>
      <c r="F426" s="6" t="str">
        <f>"吴易澄"</f>
        <v>吴易澄</v>
      </c>
      <c r="G426" s="6" t="str">
        <f t="shared" si="102"/>
        <v>男</v>
      </c>
    </row>
    <row r="427" customHeight="1" spans="1:7">
      <c r="A427" s="6">
        <v>425</v>
      </c>
      <c r="B427" s="6" t="str">
        <f>"72072024112212420852990"</f>
        <v>72072024112212420852990</v>
      </c>
      <c r="C427" s="6" t="str">
        <f t="shared" si="103"/>
        <v>0103</v>
      </c>
      <c r="D427" s="6" t="s">
        <v>11</v>
      </c>
      <c r="E427" s="6" t="s">
        <v>9</v>
      </c>
      <c r="F427" s="6" t="str">
        <f>"陈运权"</f>
        <v>陈运权</v>
      </c>
      <c r="G427" s="6" t="str">
        <f t="shared" si="102"/>
        <v>男</v>
      </c>
    </row>
    <row r="428" customHeight="1" spans="1:7">
      <c r="A428" s="6">
        <v>426</v>
      </c>
      <c r="B428" s="6" t="str">
        <f>"72072024112209054152285"</f>
        <v>72072024112209054152285</v>
      </c>
      <c r="C428" s="6" t="str">
        <f t="shared" si="103"/>
        <v>0103</v>
      </c>
      <c r="D428" s="6" t="s">
        <v>11</v>
      </c>
      <c r="E428" s="6" t="s">
        <v>9</v>
      </c>
      <c r="F428" s="6" t="str">
        <f>"陈昌年"</f>
        <v>陈昌年</v>
      </c>
      <c r="G428" s="6" t="str">
        <f t="shared" si="102"/>
        <v>男</v>
      </c>
    </row>
    <row r="429" customHeight="1" spans="1:7">
      <c r="A429" s="6">
        <v>427</v>
      </c>
      <c r="B429" s="6" t="str">
        <f>"72072024112213541053170"</f>
        <v>72072024112213541053170</v>
      </c>
      <c r="C429" s="6" t="str">
        <f t="shared" si="103"/>
        <v>0103</v>
      </c>
      <c r="D429" s="6" t="s">
        <v>11</v>
      </c>
      <c r="E429" s="6" t="s">
        <v>9</v>
      </c>
      <c r="F429" s="6" t="str">
        <f>"黄裔翔"</f>
        <v>黄裔翔</v>
      </c>
      <c r="G429" s="6" t="str">
        <f t="shared" si="102"/>
        <v>男</v>
      </c>
    </row>
    <row r="430" customHeight="1" spans="1:7">
      <c r="A430" s="6">
        <v>428</v>
      </c>
      <c r="B430" s="6" t="str">
        <f>"72072024112309401954918"</f>
        <v>72072024112309401954918</v>
      </c>
      <c r="C430" s="6" t="str">
        <f t="shared" si="103"/>
        <v>0103</v>
      </c>
      <c r="D430" s="6" t="s">
        <v>11</v>
      </c>
      <c r="E430" s="6" t="s">
        <v>9</v>
      </c>
      <c r="F430" s="6" t="str">
        <f>"王敬鑫"</f>
        <v>王敬鑫</v>
      </c>
      <c r="G430" s="6" t="str">
        <f t="shared" ref="G430:G434" si="104">"女"</f>
        <v>女</v>
      </c>
    </row>
    <row r="431" customHeight="1" spans="1:7">
      <c r="A431" s="6">
        <v>429</v>
      </c>
      <c r="B431" s="6" t="str">
        <f>"72072024112310314555050"</f>
        <v>72072024112310314555050</v>
      </c>
      <c r="C431" s="6" t="str">
        <f t="shared" si="103"/>
        <v>0103</v>
      </c>
      <c r="D431" s="6" t="s">
        <v>11</v>
      </c>
      <c r="E431" s="6" t="s">
        <v>9</v>
      </c>
      <c r="F431" s="6" t="str">
        <f>"孙英"</f>
        <v>孙英</v>
      </c>
      <c r="G431" s="6" t="str">
        <f t="shared" si="104"/>
        <v>女</v>
      </c>
    </row>
    <row r="432" customHeight="1" spans="1:7">
      <c r="A432" s="6">
        <v>430</v>
      </c>
      <c r="B432" s="6" t="str">
        <f>"72072024112319041256116"</f>
        <v>72072024112319041256116</v>
      </c>
      <c r="C432" s="6" t="str">
        <f t="shared" si="103"/>
        <v>0103</v>
      </c>
      <c r="D432" s="6" t="s">
        <v>11</v>
      </c>
      <c r="E432" s="6" t="s">
        <v>9</v>
      </c>
      <c r="F432" s="6" t="str">
        <f>"陈庆龙"</f>
        <v>陈庆龙</v>
      </c>
      <c r="G432" s="6" t="str">
        <f t="shared" ref="G432:G437" si="105">"男"</f>
        <v>男</v>
      </c>
    </row>
    <row r="433" customHeight="1" spans="1:7">
      <c r="A433" s="6">
        <v>431</v>
      </c>
      <c r="B433" s="6" t="str">
        <f>"72072024112211232752807"</f>
        <v>72072024112211232752807</v>
      </c>
      <c r="C433" s="6" t="str">
        <f t="shared" si="103"/>
        <v>0103</v>
      </c>
      <c r="D433" s="6" t="s">
        <v>11</v>
      </c>
      <c r="E433" s="6" t="s">
        <v>9</v>
      </c>
      <c r="F433" s="6" t="str">
        <f>"孙茹艺"</f>
        <v>孙茹艺</v>
      </c>
      <c r="G433" s="6" t="str">
        <f t="shared" si="104"/>
        <v>女</v>
      </c>
    </row>
    <row r="434" customHeight="1" spans="1:7">
      <c r="A434" s="6">
        <v>432</v>
      </c>
      <c r="B434" s="6" t="str">
        <f>"72072024112320444356330"</f>
        <v>72072024112320444356330</v>
      </c>
      <c r="C434" s="6" t="str">
        <f t="shared" si="103"/>
        <v>0103</v>
      </c>
      <c r="D434" s="6" t="s">
        <v>11</v>
      </c>
      <c r="E434" s="6" t="s">
        <v>9</v>
      </c>
      <c r="F434" s="6" t="str">
        <f>"周静"</f>
        <v>周静</v>
      </c>
      <c r="G434" s="6" t="str">
        <f t="shared" si="104"/>
        <v>女</v>
      </c>
    </row>
    <row r="435" customHeight="1" spans="1:7">
      <c r="A435" s="6">
        <v>433</v>
      </c>
      <c r="B435" s="6" t="str">
        <f>"72072024112323115556595"</f>
        <v>72072024112323115556595</v>
      </c>
      <c r="C435" s="6" t="str">
        <f t="shared" si="103"/>
        <v>0103</v>
      </c>
      <c r="D435" s="6" t="s">
        <v>11</v>
      </c>
      <c r="E435" s="6" t="s">
        <v>9</v>
      </c>
      <c r="F435" s="6" t="str">
        <f>"黄子梁"</f>
        <v>黄子梁</v>
      </c>
      <c r="G435" s="6" t="str">
        <f t="shared" si="105"/>
        <v>男</v>
      </c>
    </row>
    <row r="436" customHeight="1" spans="1:7">
      <c r="A436" s="6">
        <v>434</v>
      </c>
      <c r="B436" s="6" t="str">
        <f>"72072024112514134863413"</f>
        <v>72072024112514134863413</v>
      </c>
      <c r="C436" s="6" t="str">
        <f t="shared" si="103"/>
        <v>0103</v>
      </c>
      <c r="D436" s="6" t="s">
        <v>11</v>
      </c>
      <c r="E436" s="6" t="s">
        <v>9</v>
      </c>
      <c r="F436" s="6" t="str">
        <f>"侯钦鹏"</f>
        <v>侯钦鹏</v>
      </c>
      <c r="G436" s="6" t="str">
        <f t="shared" si="105"/>
        <v>男</v>
      </c>
    </row>
    <row r="437" customHeight="1" spans="1:7">
      <c r="A437" s="6">
        <v>435</v>
      </c>
      <c r="B437" s="6" t="str">
        <f>"72072024112511242861944"</f>
        <v>72072024112511242861944</v>
      </c>
      <c r="C437" s="6" t="str">
        <f t="shared" si="103"/>
        <v>0103</v>
      </c>
      <c r="D437" s="6" t="s">
        <v>11</v>
      </c>
      <c r="E437" s="6" t="s">
        <v>9</v>
      </c>
      <c r="F437" s="6" t="str">
        <f>"黄才智"</f>
        <v>黄才智</v>
      </c>
      <c r="G437" s="6" t="str">
        <f t="shared" si="105"/>
        <v>男</v>
      </c>
    </row>
    <row r="438" customHeight="1" spans="1:7">
      <c r="A438" s="6">
        <v>436</v>
      </c>
      <c r="B438" s="6" t="str">
        <f>"72072024112320433456326"</f>
        <v>72072024112320433456326</v>
      </c>
      <c r="C438" s="6" t="str">
        <f t="shared" si="103"/>
        <v>0103</v>
      </c>
      <c r="D438" s="6" t="s">
        <v>11</v>
      </c>
      <c r="E438" s="6" t="s">
        <v>9</v>
      </c>
      <c r="F438" s="6" t="str">
        <f>"孙月银"</f>
        <v>孙月银</v>
      </c>
      <c r="G438" s="6" t="str">
        <f t="shared" ref="G438:G441" si="106">"女"</f>
        <v>女</v>
      </c>
    </row>
    <row r="439" customHeight="1" spans="1:7">
      <c r="A439" s="6">
        <v>437</v>
      </c>
      <c r="B439" s="6" t="str">
        <f>"72072024112519160165916"</f>
        <v>72072024112519160165916</v>
      </c>
      <c r="C439" s="6" t="str">
        <f t="shared" si="103"/>
        <v>0103</v>
      </c>
      <c r="D439" s="6" t="s">
        <v>11</v>
      </c>
      <c r="E439" s="6" t="s">
        <v>9</v>
      </c>
      <c r="F439" s="6" t="str">
        <f>"孙雯子"</f>
        <v>孙雯子</v>
      </c>
      <c r="G439" s="6" t="str">
        <f t="shared" si="106"/>
        <v>女</v>
      </c>
    </row>
    <row r="440" customHeight="1" spans="1:7">
      <c r="A440" s="6">
        <v>438</v>
      </c>
      <c r="B440" s="6" t="str">
        <f>"72072024112519005065828"</f>
        <v>72072024112519005065828</v>
      </c>
      <c r="C440" s="6" t="str">
        <f t="shared" si="103"/>
        <v>0103</v>
      </c>
      <c r="D440" s="6" t="s">
        <v>11</v>
      </c>
      <c r="E440" s="6" t="s">
        <v>9</v>
      </c>
      <c r="F440" s="6" t="str">
        <f>"尹师帅"</f>
        <v>尹师帅</v>
      </c>
      <c r="G440" s="6" t="str">
        <f>"男"</f>
        <v>男</v>
      </c>
    </row>
    <row r="441" customHeight="1" spans="1:7">
      <c r="A441" s="6">
        <v>439</v>
      </c>
      <c r="B441" s="6" t="str">
        <f>"72072024112220114554242"</f>
        <v>72072024112220114554242</v>
      </c>
      <c r="C441" s="6" t="str">
        <f t="shared" si="103"/>
        <v>0103</v>
      </c>
      <c r="D441" s="6" t="s">
        <v>11</v>
      </c>
      <c r="E441" s="6" t="s">
        <v>9</v>
      </c>
      <c r="F441" s="6" t="str">
        <f>"韦兴祺"</f>
        <v>韦兴祺</v>
      </c>
      <c r="G441" s="6" t="str">
        <f t="shared" si="106"/>
        <v>女</v>
      </c>
    </row>
    <row r="442" customHeight="1" spans="1:7">
      <c r="A442" s="6">
        <v>440</v>
      </c>
      <c r="B442" s="6" t="str">
        <f>"72072024112617403870270"</f>
        <v>72072024112617403870270</v>
      </c>
      <c r="C442" s="6" t="str">
        <f t="shared" si="103"/>
        <v>0103</v>
      </c>
      <c r="D442" s="6" t="s">
        <v>11</v>
      </c>
      <c r="E442" s="6" t="s">
        <v>9</v>
      </c>
      <c r="F442" s="6" t="str">
        <f>"孙铨"</f>
        <v>孙铨</v>
      </c>
      <c r="G442" s="6" t="str">
        <f>"男"</f>
        <v>男</v>
      </c>
    </row>
    <row r="443" customHeight="1" spans="1:7">
      <c r="A443" s="6">
        <v>441</v>
      </c>
      <c r="B443" s="6" t="str">
        <f>"72072024112522222866787"</f>
        <v>72072024112522222866787</v>
      </c>
      <c r="C443" s="6" t="str">
        <f t="shared" si="103"/>
        <v>0103</v>
      </c>
      <c r="D443" s="6" t="s">
        <v>11</v>
      </c>
      <c r="E443" s="6" t="s">
        <v>9</v>
      </c>
      <c r="F443" s="6" t="str">
        <f>"孙方娜"</f>
        <v>孙方娜</v>
      </c>
      <c r="G443" s="6" t="str">
        <f t="shared" ref="G443:G448" si="107">"女"</f>
        <v>女</v>
      </c>
    </row>
    <row r="444" customHeight="1" spans="1:7">
      <c r="A444" s="6">
        <v>442</v>
      </c>
      <c r="B444" s="6" t="str">
        <f>"72072024112622561971260"</f>
        <v>72072024112622561971260</v>
      </c>
      <c r="C444" s="6" t="str">
        <f t="shared" si="103"/>
        <v>0103</v>
      </c>
      <c r="D444" s="6" t="s">
        <v>11</v>
      </c>
      <c r="E444" s="6" t="s">
        <v>9</v>
      </c>
      <c r="F444" s="6" t="str">
        <f>"孙丽媚"</f>
        <v>孙丽媚</v>
      </c>
      <c r="G444" s="6" t="str">
        <f t="shared" si="107"/>
        <v>女</v>
      </c>
    </row>
    <row r="445" customHeight="1" spans="1:7">
      <c r="A445" s="6">
        <v>443</v>
      </c>
      <c r="B445" s="6" t="str">
        <f>"72072024112709043871648"</f>
        <v>72072024112709043871648</v>
      </c>
      <c r="C445" s="6" t="str">
        <f t="shared" si="103"/>
        <v>0103</v>
      </c>
      <c r="D445" s="6" t="s">
        <v>11</v>
      </c>
      <c r="E445" s="6" t="s">
        <v>9</v>
      </c>
      <c r="F445" s="6" t="str">
        <f>"周惠敏"</f>
        <v>周惠敏</v>
      </c>
      <c r="G445" s="6" t="str">
        <f t="shared" si="107"/>
        <v>女</v>
      </c>
    </row>
    <row r="446" customHeight="1" spans="1:7">
      <c r="A446" s="6">
        <v>444</v>
      </c>
      <c r="B446" s="6" t="str">
        <f>"72072024112414251657595"</f>
        <v>72072024112414251657595</v>
      </c>
      <c r="C446" s="6" t="str">
        <f t="shared" si="103"/>
        <v>0103</v>
      </c>
      <c r="D446" s="6" t="s">
        <v>11</v>
      </c>
      <c r="E446" s="6" t="s">
        <v>9</v>
      </c>
      <c r="F446" s="6" t="str">
        <f>"钟碧玲"</f>
        <v>钟碧玲</v>
      </c>
      <c r="G446" s="6" t="str">
        <f t="shared" si="107"/>
        <v>女</v>
      </c>
    </row>
    <row r="447" customHeight="1" spans="1:7">
      <c r="A447" s="6">
        <v>445</v>
      </c>
      <c r="B447" s="6" t="str">
        <f>"72072024112316023655776"</f>
        <v>72072024112316023655776</v>
      </c>
      <c r="C447" s="6" t="str">
        <f t="shared" si="103"/>
        <v>0103</v>
      </c>
      <c r="D447" s="6" t="s">
        <v>11</v>
      </c>
      <c r="E447" s="6" t="s">
        <v>9</v>
      </c>
      <c r="F447" s="6" t="str">
        <f>"闫倩倩"</f>
        <v>闫倩倩</v>
      </c>
      <c r="G447" s="6" t="str">
        <f t="shared" si="107"/>
        <v>女</v>
      </c>
    </row>
    <row r="448" customHeight="1" spans="1:7">
      <c r="A448" s="6">
        <v>446</v>
      </c>
      <c r="B448" s="6" t="str">
        <f>"72072024112709322971804"</f>
        <v>72072024112709322971804</v>
      </c>
      <c r="C448" s="6" t="str">
        <f t="shared" si="103"/>
        <v>0103</v>
      </c>
      <c r="D448" s="6" t="s">
        <v>11</v>
      </c>
      <c r="E448" s="6" t="s">
        <v>9</v>
      </c>
      <c r="F448" s="6" t="str">
        <f>"周文婷"</f>
        <v>周文婷</v>
      </c>
      <c r="G448" s="6" t="str">
        <f t="shared" si="107"/>
        <v>女</v>
      </c>
    </row>
    <row r="449" customHeight="1" spans="1:7">
      <c r="A449" s="6">
        <v>447</v>
      </c>
      <c r="B449" s="6" t="str">
        <f>"72072024112710343672209"</f>
        <v>72072024112710343672209</v>
      </c>
      <c r="C449" s="6" t="str">
        <f t="shared" si="103"/>
        <v>0103</v>
      </c>
      <c r="D449" s="6" t="s">
        <v>11</v>
      </c>
      <c r="E449" s="6" t="s">
        <v>9</v>
      </c>
      <c r="F449" s="6" t="str">
        <f>"孙令皇"</f>
        <v>孙令皇</v>
      </c>
      <c r="G449" s="6" t="str">
        <f t="shared" ref="G449:G456" si="108">"男"</f>
        <v>男</v>
      </c>
    </row>
    <row r="450" customHeight="1" spans="1:7">
      <c r="A450" s="6">
        <v>448</v>
      </c>
      <c r="B450" s="6" t="str">
        <f>"72072024112518235065677"</f>
        <v>72072024112518235065677</v>
      </c>
      <c r="C450" s="6" t="str">
        <f t="shared" si="103"/>
        <v>0103</v>
      </c>
      <c r="D450" s="6" t="s">
        <v>11</v>
      </c>
      <c r="E450" s="6" t="s">
        <v>9</v>
      </c>
      <c r="F450" s="6" t="str">
        <f>"陈辞"</f>
        <v>陈辞</v>
      </c>
      <c r="G450" s="6" t="str">
        <f t="shared" si="108"/>
        <v>男</v>
      </c>
    </row>
    <row r="451" customHeight="1" spans="1:7">
      <c r="A451" s="6">
        <v>449</v>
      </c>
      <c r="B451" s="6" t="str">
        <f>"72072024112711481872584"</f>
        <v>72072024112711481872584</v>
      </c>
      <c r="C451" s="6" t="str">
        <f t="shared" si="103"/>
        <v>0103</v>
      </c>
      <c r="D451" s="6" t="s">
        <v>11</v>
      </c>
      <c r="E451" s="6" t="s">
        <v>9</v>
      </c>
      <c r="F451" s="6" t="str">
        <f>"梁彩妮"</f>
        <v>梁彩妮</v>
      </c>
      <c r="G451" s="6" t="str">
        <f t="shared" ref="G451:G453" si="109">"女"</f>
        <v>女</v>
      </c>
    </row>
    <row r="452" customHeight="1" spans="1:7">
      <c r="A452" s="6">
        <v>450</v>
      </c>
      <c r="B452" s="6" t="str">
        <f>"72072024112713115872849"</f>
        <v>72072024112713115872849</v>
      </c>
      <c r="C452" s="6" t="str">
        <f t="shared" si="103"/>
        <v>0103</v>
      </c>
      <c r="D452" s="6" t="s">
        <v>11</v>
      </c>
      <c r="E452" s="6" t="s">
        <v>9</v>
      </c>
      <c r="F452" s="6" t="str">
        <f>"吴静梅"</f>
        <v>吴静梅</v>
      </c>
      <c r="G452" s="6" t="str">
        <f t="shared" si="109"/>
        <v>女</v>
      </c>
    </row>
    <row r="453" customHeight="1" spans="1:7">
      <c r="A453" s="6">
        <v>451</v>
      </c>
      <c r="B453" s="6" t="str">
        <f>"72072024112410513357041"</f>
        <v>72072024112410513357041</v>
      </c>
      <c r="C453" s="6" t="str">
        <f t="shared" si="103"/>
        <v>0103</v>
      </c>
      <c r="D453" s="6" t="s">
        <v>11</v>
      </c>
      <c r="E453" s="6" t="s">
        <v>9</v>
      </c>
      <c r="F453" s="6" t="str">
        <f>"王秋梅"</f>
        <v>王秋梅</v>
      </c>
      <c r="G453" s="6" t="str">
        <f t="shared" si="109"/>
        <v>女</v>
      </c>
    </row>
    <row r="454" customHeight="1" spans="1:7">
      <c r="A454" s="6">
        <v>452</v>
      </c>
      <c r="B454" s="6" t="str">
        <f>"72072024112414193157572"</f>
        <v>72072024112414193157572</v>
      </c>
      <c r="C454" s="6" t="str">
        <f t="shared" si="103"/>
        <v>0103</v>
      </c>
      <c r="D454" s="6" t="s">
        <v>11</v>
      </c>
      <c r="E454" s="6" t="s">
        <v>9</v>
      </c>
      <c r="F454" s="6" t="str">
        <f>"周布"</f>
        <v>周布</v>
      </c>
      <c r="G454" s="6" t="str">
        <f t="shared" si="108"/>
        <v>男</v>
      </c>
    </row>
    <row r="455" customHeight="1" spans="1:7">
      <c r="A455" s="6">
        <v>453</v>
      </c>
      <c r="B455" s="6" t="str">
        <f>"72072024112709363771844"</f>
        <v>72072024112709363771844</v>
      </c>
      <c r="C455" s="6" t="str">
        <f t="shared" si="103"/>
        <v>0103</v>
      </c>
      <c r="D455" s="6" t="s">
        <v>11</v>
      </c>
      <c r="E455" s="6" t="s">
        <v>9</v>
      </c>
      <c r="F455" s="6" t="str">
        <f>"姜彬文"</f>
        <v>姜彬文</v>
      </c>
      <c r="G455" s="6" t="str">
        <f t="shared" si="108"/>
        <v>男</v>
      </c>
    </row>
    <row r="456" customHeight="1" spans="1:7">
      <c r="A456" s="6">
        <v>454</v>
      </c>
      <c r="B456" s="6" t="str">
        <f>"72072024112717005373889"</f>
        <v>72072024112717005373889</v>
      </c>
      <c r="C456" s="6" t="str">
        <f t="shared" si="103"/>
        <v>0103</v>
      </c>
      <c r="D456" s="6" t="s">
        <v>11</v>
      </c>
      <c r="E456" s="6" t="s">
        <v>9</v>
      </c>
      <c r="F456" s="6" t="str">
        <f>"郑依林"</f>
        <v>郑依林</v>
      </c>
      <c r="G456" s="6" t="str">
        <f t="shared" si="108"/>
        <v>男</v>
      </c>
    </row>
    <row r="457" customHeight="1" spans="1:7">
      <c r="A457" s="6">
        <v>455</v>
      </c>
      <c r="B457" s="6" t="str">
        <f>"72072024112718101074098"</f>
        <v>72072024112718101074098</v>
      </c>
      <c r="C457" s="6" t="str">
        <f t="shared" si="103"/>
        <v>0103</v>
      </c>
      <c r="D457" s="6" t="s">
        <v>11</v>
      </c>
      <c r="E457" s="6" t="s">
        <v>9</v>
      </c>
      <c r="F457" s="6" t="str">
        <f>"林姑"</f>
        <v>林姑</v>
      </c>
      <c r="G457" s="6" t="str">
        <f t="shared" ref="G457:G461" si="110">"女"</f>
        <v>女</v>
      </c>
    </row>
    <row r="458" customHeight="1" spans="1:7">
      <c r="A458" s="6">
        <v>456</v>
      </c>
      <c r="B458" s="6" t="str">
        <f>"72072024112719010174266"</f>
        <v>72072024112719010174266</v>
      </c>
      <c r="C458" s="6" t="str">
        <f t="shared" si="103"/>
        <v>0103</v>
      </c>
      <c r="D458" s="6" t="s">
        <v>11</v>
      </c>
      <c r="E458" s="6" t="s">
        <v>9</v>
      </c>
      <c r="F458" s="6" t="str">
        <f>"李林"</f>
        <v>李林</v>
      </c>
      <c r="G458" s="6" t="str">
        <f t="shared" ref="G458:G463" si="111">"男"</f>
        <v>男</v>
      </c>
    </row>
    <row r="459" customHeight="1" spans="1:7">
      <c r="A459" s="6">
        <v>457</v>
      </c>
      <c r="B459" s="6" t="str">
        <f>"72072024112723412975286"</f>
        <v>72072024112723412975286</v>
      </c>
      <c r="C459" s="6" t="str">
        <f t="shared" si="103"/>
        <v>0103</v>
      </c>
      <c r="D459" s="6" t="s">
        <v>11</v>
      </c>
      <c r="E459" s="6" t="s">
        <v>9</v>
      </c>
      <c r="F459" s="6" t="str">
        <f>"王夏梅"</f>
        <v>王夏梅</v>
      </c>
      <c r="G459" s="6" t="str">
        <f t="shared" si="110"/>
        <v>女</v>
      </c>
    </row>
    <row r="460" customHeight="1" spans="1:7">
      <c r="A460" s="6">
        <v>458</v>
      </c>
      <c r="B460" s="6" t="str">
        <f>"72072024112800065375321"</f>
        <v>72072024112800065375321</v>
      </c>
      <c r="C460" s="6" t="str">
        <f t="shared" si="103"/>
        <v>0103</v>
      </c>
      <c r="D460" s="6" t="s">
        <v>11</v>
      </c>
      <c r="E460" s="6" t="s">
        <v>9</v>
      </c>
      <c r="F460" s="6" t="str">
        <f>"陈昌云"</f>
        <v>陈昌云</v>
      </c>
      <c r="G460" s="6" t="str">
        <f t="shared" si="110"/>
        <v>女</v>
      </c>
    </row>
    <row r="461" customHeight="1" spans="1:7">
      <c r="A461" s="6">
        <v>459</v>
      </c>
      <c r="B461" s="6" t="str">
        <f>"72072024112509372460347"</f>
        <v>72072024112509372460347</v>
      </c>
      <c r="C461" s="6" t="str">
        <f t="shared" si="103"/>
        <v>0103</v>
      </c>
      <c r="D461" s="6" t="s">
        <v>11</v>
      </c>
      <c r="E461" s="6" t="s">
        <v>9</v>
      </c>
      <c r="F461" s="6" t="str">
        <f>"陈玉婷"</f>
        <v>陈玉婷</v>
      </c>
      <c r="G461" s="6" t="str">
        <f t="shared" si="110"/>
        <v>女</v>
      </c>
    </row>
    <row r="462" customHeight="1" spans="1:7">
      <c r="A462" s="6">
        <v>460</v>
      </c>
      <c r="B462" s="6" t="str">
        <f>"72072024112813402677351"</f>
        <v>72072024112813402677351</v>
      </c>
      <c r="C462" s="6" t="str">
        <f t="shared" si="103"/>
        <v>0103</v>
      </c>
      <c r="D462" s="6" t="s">
        <v>11</v>
      </c>
      <c r="E462" s="6" t="s">
        <v>9</v>
      </c>
      <c r="F462" s="6" t="str">
        <f>"韦遵政"</f>
        <v>韦遵政</v>
      </c>
      <c r="G462" s="6" t="str">
        <f t="shared" si="111"/>
        <v>男</v>
      </c>
    </row>
    <row r="463" customHeight="1" spans="1:7">
      <c r="A463" s="6">
        <v>461</v>
      </c>
      <c r="B463" s="6" t="str">
        <f>"72072024112814534877761"</f>
        <v>72072024112814534877761</v>
      </c>
      <c r="C463" s="6" t="str">
        <f t="shared" si="103"/>
        <v>0103</v>
      </c>
      <c r="D463" s="6" t="s">
        <v>11</v>
      </c>
      <c r="E463" s="6" t="s">
        <v>9</v>
      </c>
      <c r="F463" s="6" t="str">
        <f>"张彦超"</f>
        <v>张彦超</v>
      </c>
      <c r="G463" s="6" t="str">
        <f t="shared" si="111"/>
        <v>男</v>
      </c>
    </row>
    <row r="464" customHeight="1" spans="1:7">
      <c r="A464" s="6">
        <v>462</v>
      </c>
      <c r="B464" s="6" t="str">
        <f>"72072024112815491578234"</f>
        <v>72072024112815491578234</v>
      </c>
      <c r="C464" s="6" t="str">
        <f t="shared" si="103"/>
        <v>0103</v>
      </c>
      <c r="D464" s="6" t="s">
        <v>11</v>
      </c>
      <c r="E464" s="6" t="s">
        <v>9</v>
      </c>
      <c r="F464" s="6" t="str">
        <f>"孙怡"</f>
        <v>孙怡</v>
      </c>
      <c r="G464" s="6" t="str">
        <f t="shared" ref="G464:G466" si="112">"女"</f>
        <v>女</v>
      </c>
    </row>
    <row r="465" customHeight="1" spans="1:7">
      <c r="A465" s="6">
        <v>463</v>
      </c>
      <c r="B465" s="6" t="str">
        <f>"72072024112816215778521"</f>
        <v>72072024112816215778521</v>
      </c>
      <c r="C465" s="6" t="str">
        <f t="shared" si="103"/>
        <v>0103</v>
      </c>
      <c r="D465" s="6" t="s">
        <v>11</v>
      </c>
      <c r="E465" s="6" t="s">
        <v>9</v>
      </c>
      <c r="F465" s="6" t="str">
        <f>"邓少燕"</f>
        <v>邓少燕</v>
      </c>
      <c r="G465" s="6" t="str">
        <f t="shared" si="112"/>
        <v>女</v>
      </c>
    </row>
    <row r="466" customHeight="1" spans="1:7">
      <c r="A466" s="6">
        <v>464</v>
      </c>
      <c r="B466" s="6" t="str">
        <f>"72072024112312120755249"</f>
        <v>72072024112312120755249</v>
      </c>
      <c r="C466" s="6" t="str">
        <f t="shared" si="103"/>
        <v>0103</v>
      </c>
      <c r="D466" s="6" t="s">
        <v>11</v>
      </c>
      <c r="E466" s="6" t="s">
        <v>9</v>
      </c>
      <c r="F466" s="6" t="str">
        <f>"王心怡"</f>
        <v>王心怡</v>
      </c>
      <c r="G466" s="6" t="str">
        <f t="shared" si="112"/>
        <v>女</v>
      </c>
    </row>
    <row r="467" customHeight="1" spans="1:7">
      <c r="A467" s="6">
        <v>465</v>
      </c>
      <c r="B467" s="6" t="str">
        <f>"72072024112817393479050"</f>
        <v>72072024112817393479050</v>
      </c>
      <c r="C467" s="6" t="str">
        <f t="shared" si="103"/>
        <v>0103</v>
      </c>
      <c r="D467" s="6" t="s">
        <v>11</v>
      </c>
      <c r="E467" s="6" t="s">
        <v>9</v>
      </c>
      <c r="F467" s="6" t="str">
        <f>"孙鸿森"</f>
        <v>孙鸿森</v>
      </c>
      <c r="G467" s="6" t="str">
        <f t="shared" ref="G467:G472" si="113">"男"</f>
        <v>男</v>
      </c>
    </row>
    <row r="468" customHeight="1" spans="1:7">
      <c r="A468" s="6">
        <v>466</v>
      </c>
      <c r="B468" s="6" t="str">
        <f>"72072024112810531476488"</f>
        <v>72072024112810531476488</v>
      </c>
      <c r="C468" s="6" t="str">
        <f t="shared" si="103"/>
        <v>0103</v>
      </c>
      <c r="D468" s="6" t="s">
        <v>11</v>
      </c>
      <c r="E468" s="6" t="s">
        <v>9</v>
      </c>
      <c r="F468" s="6" t="str">
        <f>"陈思愿"</f>
        <v>陈思愿</v>
      </c>
      <c r="G468" s="6" t="str">
        <f t="shared" si="113"/>
        <v>男</v>
      </c>
    </row>
    <row r="469" customHeight="1" spans="1:7">
      <c r="A469" s="6">
        <v>467</v>
      </c>
      <c r="B469" s="6" t="str">
        <f>"72072024112808354075544"</f>
        <v>72072024112808354075544</v>
      </c>
      <c r="C469" s="6" t="str">
        <f t="shared" si="103"/>
        <v>0103</v>
      </c>
      <c r="D469" s="6" t="s">
        <v>11</v>
      </c>
      <c r="E469" s="6" t="s">
        <v>9</v>
      </c>
      <c r="F469" s="6" t="str">
        <f>"薛文涯"</f>
        <v>薛文涯</v>
      </c>
      <c r="G469" s="6" t="str">
        <f t="shared" ref="G469:G471" si="114">"女"</f>
        <v>女</v>
      </c>
    </row>
    <row r="470" customHeight="1" spans="1:7">
      <c r="A470" s="6">
        <v>468</v>
      </c>
      <c r="B470" s="6" t="str">
        <f>"72072024112819052779601"</f>
        <v>72072024112819052779601</v>
      </c>
      <c r="C470" s="6" t="str">
        <f t="shared" si="103"/>
        <v>0103</v>
      </c>
      <c r="D470" s="6" t="s">
        <v>11</v>
      </c>
      <c r="E470" s="6" t="s">
        <v>9</v>
      </c>
      <c r="F470" s="6" t="str">
        <f>"陈妃"</f>
        <v>陈妃</v>
      </c>
      <c r="G470" s="6" t="str">
        <f t="shared" si="114"/>
        <v>女</v>
      </c>
    </row>
    <row r="471" customHeight="1" spans="1:7">
      <c r="A471" s="6">
        <v>469</v>
      </c>
      <c r="B471" s="6" t="str">
        <f>"72072024112812223376970"</f>
        <v>72072024112812223376970</v>
      </c>
      <c r="C471" s="6" t="str">
        <f t="shared" si="103"/>
        <v>0103</v>
      </c>
      <c r="D471" s="6" t="s">
        <v>11</v>
      </c>
      <c r="E471" s="6" t="s">
        <v>9</v>
      </c>
      <c r="F471" s="6" t="str">
        <f>"陈媚"</f>
        <v>陈媚</v>
      </c>
      <c r="G471" s="6" t="str">
        <f t="shared" si="114"/>
        <v>女</v>
      </c>
    </row>
    <row r="472" customHeight="1" spans="1:7">
      <c r="A472" s="6">
        <v>470</v>
      </c>
      <c r="B472" s="6" t="str">
        <f>"72072024112821074580598"</f>
        <v>72072024112821074580598</v>
      </c>
      <c r="C472" s="6" t="str">
        <f t="shared" si="103"/>
        <v>0103</v>
      </c>
      <c r="D472" s="6" t="s">
        <v>11</v>
      </c>
      <c r="E472" s="6" t="s">
        <v>9</v>
      </c>
      <c r="F472" s="6" t="str">
        <f>"赵伟基"</f>
        <v>赵伟基</v>
      </c>
      <c r="G472" s="6" t="str">
        <f t="shared" si="113"/>
        <v>男</v>
      </c>
    </row>
    <row r="473" customHeight="1" spans="1:7">
      <c r="A473" s="6">
        <v>471</v>
      </c>
      <c r="B473" s="6" t="str">
        <f>"72072024112320592356365"</f>
        <v>72072024112320592356365</v>
      </c>
      <c r="C473" s="6" t="str">
        <f t="shared" si="103"/>
        <v>0103</v>
      </c>
      <c r="D473" s="6" t="s">
        <v>11</v>
      </c>
      <c r="E473" s="6" t="s">
        <v>9</v>
      </c>
      <c r="F473" s="6" t="str">
        <f>"陈娜"</f>
        <v>陈娜</v>
      </c>
      <c r="G473" s="6" t="str">
        <f t="shared" ref="G473:G477" si="115">"女"</f>
        <v>女</v>
      </c>
    </row>
    <row r="474" customHeight="1" spans="1:7">
      <c r="A474" s="6">
        <v>472</v>
      </c>
      <c r="B474" s="6" t="str">
        <f>"72072024112816083278407"</f>
        <v>72072024112816083278407</v>
      </c>
      <c r="C474" s="6" t="str">
        <f t="shared" si="103"/>
        <v>0103</v>
      </c>
      <c r="D474" s="6" t="s">
        <v>11</v>
      </c>
      <c r="E474" s="6" t="s">
        <v>9</v>
      </c>
      <c r="F474" s="6" t="str">
        <f>"郑杨文"</f>
        <v>郑杨文</v>
      </c>
      <c r="G474" s="6" t="str">
        <f t="shared" si="115"/>
        <v>女</v>
      </c>
    </row>
    <row r="475" customHeight="1" spans="1:7">
      <c r="A475" s="6">
        <v>473</v>
      </c>
      <c r="B475" s="6" t="str">
        <f>"72072024112908464182410"</f>
        <v>72072024112908464182410</v>
      </c>
      <c r="C475" s="6" t="str">
        <f t="shared" si="103"/>
        <v>0103</v>
      </c>
      <c r="D475" s="6" t="s">
        <v>11</v>
      </c>
      <c r="E475" s="6" t="s">
        <v>9</v>
      </c>
      <c r="F475" s="6" t="str">
        <f>"孙蕾"</f>
        <v>孙蕾</v>
      </c>
      <c r="G475" s="6" t="str">
        <f t="shared" si="115"/>
        <v>女</v>
      </c>
    </row>
    <row r="476" customHeight="1" spans="1:7">
      <c r="A476" s="6">
        <v>474</v>
      </c>
      <c r="B476" s="6" t="str">
        <f>"72072024112909190682910"</f>
        <v>72072024112909190682910</v>
      </c>
      <c r="C476" s="6" t="str">
        <f t="shared" si="103"/>
        <v>0103</v>
      </c>
      <c r="D476" s="6" t="s">
        <v>11</v>
      </c>
      <c r="E476" s="6" t="s">
        <v>9</v>
      </c>
      <c r="F476" s="6" t="str">
        <f>"陈春菊"</f>
        <v>陈春菊</v>
      </c>
      <c r="G476" s="6" t="str">
        <f t="shared" si="115"/>
        <v>女</v>
      </c>
    </row>
    <row r="477" customHeight="1" spans="1:7">
      <c r="A477" s="6">
        <v>475</v>
      </c>
      <c r="B477" s="6" t="str">
        <f>"72072024112816222778529"</f>
        <v>72072024112816222778529</v>
      </c>
      <c r="C477" s="6" t="str">
        <f t="shared" si="103"/>
        <v>0103</v>
      </c>
      <c r="D477" s="6" t="s">
        <v>11</v>
      </c>
      <c r="E477" s="6" t="s">
        <v>9</v>
      </c>
      <c r="F477" s="6" t="str">
        <f>"邢雪爱"</f>
        <v>邢雪爱</v>
      </c>
      <c r="G477" s="6" t="str">
        <f t="shared" si="115"/>
        <v>女</v>
      </c>
    </row>
    <row r="478" customHeight="1" spans="1:7">
      <c r="A478" s="6">
        <v>476</v>
      </c>
      <c r="B478" s="6" t="str">
        <f>"72072024112708101671459"</f>
        <v>72072024112708101671459</v>
      </c>
      <c r="C478" s="6" t="str">
        <f t="shared" si="103"/>
        <v>0103</v>
      </c>
      <c r="D478" s="6" t="s">
        <v>11</v>
      </c>
      <c r="E478" s="6" t="s">
        <v>9</v>
      </c>
      <c r="F478" s="6" t="str">
        <f>"谭宇茂"</f>
        <v>谭宇茂</v>
      </c>
      <c r="G478" s="6" t="str">
        <f t="shared" ref="G478:G482" si="116">"男"</f>
        <v>男</v>
      </c>
    </row>
    <row r="479" customHeight="1" spans="1:7">
      <c r="A479" s="6">
        <v>477</v>
      </c>
      <c r="B479" s="6" t="str">
        <f>"72072024112209153552321"</f>
        <v>72072024112209153552321</v>
      </c>
      <c r="C479" s="6" t="str">
        <f t="shared" ref="C479:C542" si="117">"0104"</f>
        <v>0104</v>
      </c>
      <c r="D479" s="6" t="s">
        <v>12</v>
      </c>
      <c r="E479" s="6" t="s">
        <v>9</v>
      </c>
      <c r="F479" s="6" t="str">
        <f>"兰蝶"</f>
        <v>兰蝶</v>
      </c>
      <c r="G479" s="6" t="str">
        <f t="shared" ref="G479:G491" si="118">"女"</f>
        <v>女</v>
      </c>
    </row>
    <row r="480" customHeight="1" spans="1:7">
      <c r="A480" s="6">
        <v>478</v>
      </c>
      <c r="B480" s="6" t="str">
        <f>"72072024112210582452726"</f>
        <v>72072024112210582452726</v>
      </c>
      <c r="C480" s="6" t="str">
        <f t="shared" si="117"/>
        <v>0104</v>
      </c>
      <c r="D480" s="6" t="s">
        <v>12</v>
      </c>
      <c r="E480" s="6" t="s">
        <v>9</v>
      </c>
      <c r="F480" s="6" t="str">
        <f>"张小辉"</f>
        <v>张小辉</v>
      </c>
      <c r="G480" s="6" t="str">
        <f t="shared" si="116"/>
        <v>男</v>
      </c>
    </row>
    <row r="481" customHeight="1" spans="1:7">
      <c r="A481" s="6">
        <v>479</v>
      </c>
      <c r="B481" s="6" t="str">
        <f>"72072024112210292752611"</f>
        <v>72072024112210292752611</v>
      </c>
      <c r="C481" s="6" t="str">
        <f t="shared" si="117"/>
        <v>0104</v>
      </c>
      <c r="D481" s="6" t="s">
        <v>12</v>
      </c>
      <c r="E481" s="6" t="s">
        <v>9</v>
      </c>
      <c r="F481" s="6" t="str">
        <f>"唐慧琴"</f>
        <v>唐慧琴</v>
      </c>
      <c r="G481" s="6" t="str">
        <f t="shared" si="118"/>
        <v>女</v>
      </c>
    </row>
    <row r="482" customHeight="1" spans="1:7">
      <c r="A482" s="6">
        <v>480</v>
      </c>
      <c r="B482" s="6" t="str">
        <f>"72072024112210002852496"</f>
        <v>72072024112210002852496</v>
      </c>
      <c r="C482" s="6" t="str">
        <f t="shared" si="117"/>
        <v>0104</v>
      </c>
      <c r="D482" s="6" t="s">
        <v>12</v>
      </c>
      <c r="E482" s="6" t="s">
        <v>9</v>
      </c>
      <c r="F482" s="6" t="str">
        <f>"赵治坤"</f>
        <v>赵治坤</v>
      </c>
      <c r="G482" s="6" t="str">
        <f t="shared" si="116"/>
        <v>男</v>
      </c>
    </row>
    <row r="483" customHeight="1" spans="1:7">
      <c r="A483" s="6">
        <v>481</v>
      </c>
      <c r="B483" s="6" t="str">
        <f>"72072024112211352052843"</f>
        <v>72072024112211352052843</v>
      </c>
      <c r="C483" s="6" t="str">
        <f t="shared" si="117"/>
        <v>0104</v>
      </c>
      <c r="D483" s="6" t="s">
        <v>12</v>
      </c>
      <c r="E483" s="6" t="s">
        <v>9</v>
      </c>
      <c r="F483" s="6" t="str">
        <f>"程思淑"</f>
        <v>程思淑</v>
      </c>
      <c r="G483" s="6" t="str">
        <f t="shared" si="118"/>
        <v>女</v>
      </c>
    </row>
    <row r="484" customHeight="1" spans="1:7">
      <c r="A484" s="6">
        <v>482</v>
      </c>
      <c r="B484" s="6" t="str">
        <f>"72072024112210162852573"</f>
        <v>72072024112210162852573</v>
      </c>
      <c r="C484" s="6" t="str">
        <f t="shared" si="117"/>
        <v>0104</v>
      </c>
      <c r="D484" s="6" t="s">
        <v>12</v>
      </c>
      <c r="E484" s="6" t="s">
        <v>9</v>
      </c>
      <c r="F484" s="6" t="str">
        <f>"陆奕娜"</f>
        <v>陆奕娜</v>
      </c>
      <c r="G484" s="6" t="str">
        <f t="shared" si="118"/>
        <v>女</v>
      </c>
    </row>
    <row r="485" customHeight="1" spans="1:7">
      <c r="A485" s="6">
        <v>483</v>
      </c>
      <c r="B485" s="6" t="str">
        <f>"72072024112211074552765"</f>
        <v>72072024112211074552765</v>
      </c>
      <c r="C485" s="6" t="str">
        <f t="shared" si="117"/>
        <v>0104</v>
      </c>
      <c r="D485" s="6" t="s">
        <v>12</v>
      </c>
      <c r="E485" s="6" t="s">
        <v>9</v>
      </c>
      <c r="F485" s="6" t="str">
        <f>"朱园园"</f>
        <v>朱园园</v>
      </c>
      <c r="G485" s="6" t="str">
        <f t="shared" si="118"/>
        <v>女</v>
      </c>
    </row>
    <row r="486" customHeight="1" spans="1:7">
      <c r="A486" s="6">
        <v>484</v>
      </c>
      <c r="B486" s="6" t="str">
        <f>"72072024112210340852634"</f>
        <v>72072024112210340852634</v>
      </c>
      <c r="C486" s="6" t="str">
        <f t="shared" si="117"/>
        <v>0104</v>
      </c>
      <c r="D486" s="6" t="s">
        <v>12</v>
      </c>
      <c r="E486" s="6" t="s">
        <v>9</v>
      </c>
      <c r="F486" s="6" t="str">
        <f>"陈卓"</f>
        <v>陈卓</v>
      </c>
      <c r="G486" s="6" t="str">
        <f t="shared" si="118"/>
        <v>女</v>
      </c>
    </row>
    <row r="487" customHeight="1" spans="1:7">
      <c r="A487" s="6">
        <v>485</v>
      </c>
      <c r="B487" s="6" t="str">
        <f>"72072024112213513853164"</f>
        <v>72072024112213513853164</v>
      </c>
      <c r="C487" s="6" t="str">
        <f t="shared" si="117"/>
        <v>0104</v>
      </c>
      <c r="D487" s="6" t="s">
        <v>12</v>
      </c>
      <c r="E487" s="6" t="s">
        <v>9</v>
      </c>
      <c r="F487" s="6" t="str">
        <f>"万娇"</f>
        <v>万娇</v>
      </c>
      <c r="G487" s="6" t="str">
        <f t="shared" si="118"/>
        <v>女</v>
      </c>
    </row>
    <row r="488" customHeight="1" spans="1:7">
      <c r="A488" s="6">
        <v>486</v>
      </c>
      <c r="B488" s="6" t="str">
        <f>"72072024112215364953453"</f>
        <v>72072024112215364953453</v>
      </c>
      <c r="C488" s="6" t="str">
        <f t="shared" si="117"/>
        <v>0104</v>
      </c>
      <c r="D488" s="6" t="s">
        <v>12</v>
      </c>
      <c r="E488" s="6" t="s">
        <v>9</v>
      </c>
      <c r="F488" s="6" t="str">
        <f>"范颜"</f>
        <v>范颜</v>
      </c>
      <c r="G488" s="6" t="str">
        <f t="shared" si="118"/>
        <v>女</v>
      </c>
    </row>
    <row r="489" customHeight="1" spans="1:7">
      <c r="A489" s="6">
        <v>487</v>
      </c>
      <c r="B489" s="6" t="str">
        <f>"72072024112211192752797"</f>
        <v>72072024112211192752797</v>
      </c>
      <c r="C489" s="6" t="str">
        <f t="shared" si="117"/>
        <v>0104</v>
      </c>
      <c r="D489" s="6" t="s">
        <v>12</v>
      </c>
      <c r="E489" s="6" t="s">
        <v>9</v>
      </c>
      <c r="F489" s="6" t="str">
        <f>"曾孔绿"</f>
        <v>曾孔绿</v>
      </c>
      <c r="G489" s="6" t="str">
        <f t="shared" si="118"/>
        <v>女</v>
      </c>
    </row>
    <row r="490" customHeight="1" spans="1:7">
      <c r="A490" s="6">
        <v>488</v>
      </c>
      <c r="B490" s="6" t="str">
        <f>"72072024112215055053357"</f>
        <v>72072024112215055053357</v>
      </c>
      <c r="C490" s="6" t="str">
        <f t="shared" si="117"/>
        <v>0104</v>
      </c>
      <c r="D490" s="6" t="s">
        <v>12</v>
      </c>
      <c r="E490" s="6" t="s">
        <v>9</v>
      </c>
      <c r="F490" s="6" t="str">
        <f>"邹林"</f>
        <v>邹林</v>
      </c>
      <c r="G490" s="6" t="str">
        <f t="shared" si="118"/>
        <v>女</v>
      </c>
    </row>
    <row r="491" customHeight="1" spans="1:7">
      <c r="A491" s="6">
        <v>489</v>
      </c>
      <c r="B491" s="6" t="str">
        <f>"72072024112216572553763"</f>
        <v>72072024112216572553763</v>
      </c>
      <c r="C491" s="6" t="str">
        <f t="shared" si="117"/>
        <v>0104</v>
      </c>
      <c r="D491" s="6" t="s">
        <v>12</v>
      </c>
      <c r="E491" s="6" t="s">
        <v>9</v>
      </c>
      <c r="F491" s="6" t="str">
        <f>"吴雨娴"</f>
        <v>吴雨娴</v>
      </c>
      <c r="G491" s="6" t="str">
        <f t="shared" si="118"/>
        <v>女</v>
      </c>
    </row>
    <row r="492" customHeight="1" spans="1:7">
      <c r="A492" s="6">
        <v>490</v>
      </c>
      <c r="B492" s="6" t="str">
        <f>"72072024112216095153583"</f>
        <v>72072024112216095153583</v>
      </c>
      <c r="C492" s="6" t="str">
        <f t="shared" si="117"/>
        <v>0104</v>
      </c>
      <c r="D492" s="6" t="s">
        <v>12</v>
      </c>
      <c r="E492" s="6" t="s">
        <v>9</v>
      </c>
      <c r="F492" s="6" t="str">
        <f>"郭修泽"</f>
        <v>郭修泽</v>
      </c>
      <c r="G492" s="6" t="str">
        <f t="shared" ref="G492:G498" si="119">"男"</f>
        <v>男</v>
      </c>
    </row>
    <row r="493" customHeight="1" spans="1:7">
      <c r="A493" s="6">
        <v>491</v>
      </c>
      <c r="B493" s="6" t="str">
        <f>"72072024112215553753530"</f>
        <v>72072024112215553753530</v>
      </c>
      <c r="C493" s="6" t="str">
        <f t="shared" si="117"/>
        <v>0104</v>
      </c>
      <c r="D493" s="6" t="s">
        <v>12</v>
      </c>
      <c r="E493" s="6" t="s">
        <v>9</v>
      </c>
      <c r="F493" s="6" t="str">
        <f>"王会言"</f>
        <v>王会言</v>
      </c>
      <c r="G493" s="6" t="str">
        <f t="shared" ref="G493:G496" si="120">"女"</f>
        <v>女</v>
      </c>
    </row>
    <row r="494" customHeight="1" spans="1:7">
      <c r="A494" s="6">
        <v>492</v>
      </c>
      <c r="B494" s="6" t="str">
        <f>"72072024112216513053736"</f>
        <v>72072024112216513053736</v>
      </c>
      <c r="C494" s="6" t="str">
        <f t="shared" si="117"/>
        <v>0104</v>
      </c>
      <c r="D494" s="6" t="s">
        <v>12</v>
      </c>
      <c r="E494" s="6" t="s">
        <v>9</v>
      </c>
      <c r="F494" s="6" t="str">
        <f>"赵宗超"</f>
        <v>赵宗超</v>
      </c>
      <c r="G494" s="6" t="str">
        <f t="shared" si="119"/>
        <v>男</v>
      </c>
    </row>
    <row r="495" customHeight="1" spans="1:7">
      <c r="A495" s="6">
        <v>493</v>
      </c>
      <c r="B495" s="6" t="str">
        <f>"72072024112218260853996"</f>
        <v>72072024112218260853996</v>
      </c>
      <c r="C495" s="6" t="str">
        <f t="shared" si="117"/>
        <v>0104</v>
      </c>
      <c r="D495" s="6" t="s">
        <v>12</v>
      </c>
      <c r="E495" s="6" t="s">
        <v>9</v>
      </c>
      <c r="F495" s="6" t="str">
        <f>"韩继影"</f>
        <v>韩继影</v>
      </c>
      <c r="G495" s="6" t="str">
        <f t="shared" si="120"/>
        <v>女</v>
      </c>
    </row>
    <row r="496" customHeight="1" spans="1:7">
      <c r="A496" s="6">
        <v>494</v>
      </c>
      <c r="B496" s="6" t="str">
        <f>"72072024112220455154338"</f>
        <v>72072024112220455154338</v>
      </c>
      <c r="C496" s="6" t="str">
        <f t="shared" si="117"/>
        <v>0104</v>
      </c>
      <c r="D496" s="6" t="s">
        <v>12</v>
      </c>
      <c r="E496" s="6" t="s">
        <v>9</v>
      </c>
      <c r="F496" s="6" t="str">
        <f>"陈禧"</f>
        <v>陈禧</v>
      </c>
      <c r="G496" s="6" t="str">
        <f t="shared" si="120"/>
        <v>女</v>
      </c>
    </row>
    <row r="497" customHeight="1" spans="1:7">
      <c r="A497" s="6">
        <v>495</v>
      </c>
      <c r="B497" s="6" t="str">
        <f>"72072024112215000553336"</f>
        <v>72072024112215000553336</v>
      </c>
      <c r="C497" s="6" t="str">
        <f t="shared" si="117"/>
        <v>0104</v>
      </c>
      <c r="D497" s="6" t="s">
        <v>12</v>
      </c>
      <c r="E497" s="6" t="s">
        <v>9</v>
      </c>
      <c r="F497" s="6" t="str">
        <f>"陈太新"</f>
        <v>陈太新</v>
      </c>
      <c r="G497" s="6" t="str">
        <f t="shared" si="119"/>
        <v>男</v>
      </c>
    </row>
    <row r="498" customHeight="1" spans="1:7">
      <c r="A498" s="6">
        <v>496</v>
      </c>
      <c r="B498" s="6" t="str">
        <f>"72072024112217041153791"</f>
        <v>72072024112217041153791</v>
      </c>
      <c r="C498" s="6" t="str">
        <f t="shared" si="117"/>
        <v>0104</v>
      </c>
      <c r="D498" s="6" t="s">
        <v>12</v>
      </c>
      <c r="E498" s="6" t="s">
        <v>9</v>
      </c>
      <c r="F498" s="6" t="str">
        <f>"刘义"</f>
        <v>刘义</v>
      </c>
      <c r="G498" s="6" t="str">
        <f t="shared" si="119"/>
        <v>男</v>
      </c>
    </row>
    <row r="499" customHeight="1" spans="1:7">
      <c r="A499" s="6">
        <v>497</v>
      </c>
      <c r="B499" s="6" t="str">
        <f>"72072024112310261055037"</f>
        <v>72072024112310261055037</v>
      </c>
      <c r="C499" s="6" t="str">
        <f t="shared" si="117"/>
        <v>0104</v>
      </c>
      <c r="D499" s="6" t="s">
        <v>12</v>
      </c>
      <c r="E499" s="6" t="s">
        <v>9</v>
      </c>
      <c r="F499" s="6" t="str">
        <f>"马广凤"</f>
        <v>马广凤</v>
      </c>
      <c r="G499" s="6" t="str">
        <f t="shared" ref="G499:G503" si="121">"女"</f>
        <v>女</v>
      </c>
    </row>
    <row r="500" customHeight="1" spans="1:7">
      <c r="A500" s="6">
        <v>498</v>
      </c>
      <c r="B500" s="6" t="str">
        <f>"72072024112309463654935"</f>
        <v>72072024112309463654935</v>
      </c>
      <c r="C500" s="6" t="str">
        <f t="shared" si="117"/>
        <v>0104</v>
      </c>
      <c r="D500" s="6" t="s">
        <v>12</v>
      </c>
      <c r="E500" s="6" t="s">
        <v>9</v>
      </c>
      <c r="F500" s="6" t="str">
        <f>"林海花"</f>
        <v>林海花</v>
      </c>
      <c r="G500" s="6" t="str">
        <f t="shared" si="121"/>
        <v>女</v>
      </c>
    </row>
    <row r="501" customHeight="1" spans="1:7">
      <c r="A501" s="6">
        <v>499</v>
      </c>
      <c r="B501" s="6" t="str">
        <f>"72072024112220015054224"</f>
        <v>72072024112220015054224</v>
      </c>
      <c r="C501" s="6" t="str">
        <f t="shared" si="117"/>
        <v>0104</v>
      </c>
      <c r="D501" s="6" t="s">
        <v>12</v>
      </c>
      <c r="E501" s="6" t="s">
        <v>9</v>
      </c>
      <c r="F501" s="6" t="str">
        <f>"刘海青"</f>
        <v>刘海青</v>
      </c>
      <c r="G501" s="6" t="str">
        <f t="shared" ref="G501:G506" si="122">"男"</f>
        <v>男</v>
      </c>
    </row>
    <row r="502" customHeight="1" spans="1:7">
      <c r="A502" s="6">
        <v>500</v>
      </c>
      <c r="B502" s="6" t="str">
        <f>"72072024112309262854885"</f>
        <v>72072024112309262854885</v>
      </c>
      <c r="C502" s="6" t="str">
        <f t="shared" si="117"/>
        <v>0104</v>
      </c>
      <c r="D502" s="6" t="s">
        <v>12</v>
      </c>
      <c r="E502" s="6" t="s">
        <v>9</v>
      </c>
      <c r="F502" s="6" t="str">
        <f>"吉才横"</f>
        <v>吉才横</v>
      </c>
      <c r="G502" s="6" t="str">
        <f t="shared" si="121"/>
        <v>女</v>
      </c>
    </row>
    <row r="503" customHeight="1" spans="1:7">
      <c r="A503" s="6">
        <v>501</v>
      </c>
      <c r="B503" s="6" t="str">
        <f>"72072024112210411352669"</f>
        <v>72072024112210411352669</v>
      </c>
      <c r="C503" s="6" t="str">
        <f t="shared" si="117"/>
        <v>0104</v>
      </c>
      <c r="D503" s="6" t="s">
        <v>12</v>
      </c>
      <c r="E503" s="6" t="s">
        <v>9</v>
      </c>
      <c r="F503" s="6" t="str">
        <f>"韦小晴"</f>
        <v>韦小晴</v>
      </c>
      <c r="G503" s="6" t="str">
        <f t="shared" si="121"/>
        <v>女</v>
      </c>
    </row>
    <row r="504" customHeight="1" spans="1:7">
      <c r="A504" s="6">
        <v>502</v>
      </c>
      <c r="B504" s="6" t="str">
        <f>"72072024112209271552365"</f>
        <v>72072024112209271552365</v>
      </c>
      <c r="C504" s="6" t="str">
        <f t="shared" si="117"/>
        <v>0104</v>
      </c>
      <c r="D504" s="6" t="s">
        <v>12</v>
      </c>
      <c r="E504" s="6" t="s">
        <v>9</v>
      </c>
      <c r="F504" s="6" t="str">
        <f>"陈子华"</f>
        <v>陈子华</v>
      </c>
      <c r="G504" s="6" t="str">
        <f t="shared" si="122"/>
        <v>男</v>
      </c>
    </row>
    <row r="505" customHeight="1" spans="1:7">
      <c r="A505" s="6">
        <v>503</v>
      </c>
      <c r="B505" s="6" t="str">
        <f>"72072024112222205054542"</f>
        <v>72072024112222205054542</v>
      </c>
      <c r="C505" s="6" t="str">
        <f t="shared" si="117"/>
        <v>0104</v>
      </c>
      <c r="D505" s="6" t="s">
        <v>12</v>
      </c>
      <c r="E505" s="6" t="s">
        <v>9</v>
      </c>
      <c r="F505" s="6" t="str">
        <f>"高水生"</f>
        <v>高水生</v>
      </c>
      <c r="G505" s="6" t="str">
        <f t="shared" si="122"/>
        <v>男</v>
      </c>
    </row>
    <row r="506" customHeight="1" spans="1:7">
      <c r="A506" s="6">
        <v>504</v>
      </c>
      <c r="B506" s="6" t="str">
        <f>"72072024112314251355561"</f>
        <v>72072024112314251355561</v>
      </c>
      <c r="C506" s="6" t="str">
        <f t="shared" si="117"/>
        <v>0104</v>
      </c>
      <c r="D506" s="6" t="s">
        <v>12</v>
      </c>
      <c r="E506" s="6" t="s">
        <v>9</v>
      </c>
      <c r="F506" s="6" t="str">
        <f>"黄振宁"</f>
        <v>黄振宁</v>
      </c>
      <c r="G506" s="6" t="str">
        <f t="shared" si="122"/>
        <v>男</v>
      </c>
    </row>
    <row r="507" customHeight="1" spans="1:7">
      <c r="A507" s="6">
        <v>505</v>
      </c>
      <c r="B507" s="6" t="str">
        <f>"72072024112216501653735"</f>
        <v>72072024112216501653735</v>
      </c>
      <c r="C507" s="6" t="str">
        <f t="shared" si="117"/>
        <v>0104</v>
      </c>
      <c r="D507" s="6" t="s">
        <v>12</v>
      </c>
      <c r="E507" s="6" t="s">
        <v>9</v>
      </c>
      <c r="F507" s="6" t="str">
        <f>"曾潇莹"</f>
        <v>曾潇莹</v>
      </c>
      <c r="G507" s="6" t="str">
        <f t="shared" ref="G507:G514" si="123">"女"</f>
        <v>女</v>
      </c>
    </row>
    <row r="508" customHeight="1" spans="1:7">
      <c r="A508" s="6">
        <v>506</v>
      </c>
      <c r="B508" s="6" t="str">
        <f>"72072024112220261454293"</f>
        <v>72072024112220261454293</v>
      </c>
      <c r="C508" s="6" t="str">
        <f t="shared" si="117"/>
        <v>0104</v>
      </c>
      <c r="D508" s="6" t="s">
        <v>12</v>
      </c>
      <c r="E508" s="6" t="s">
        <v>9</v>
      </c>
      <c r="F508" s="6" t="str">
        <f>"赵江波"</f>
        <v>赵江波</v>
      </c>
      <c r="G508" s="6" t="str">
        <f t="shared" ref="G508:G511" si="124">"男"</f>
        <v>男</v>
      </c>
    </row>
    <row r="509" customHeight="1" spans="1:7">
      <c r="A509" s="6">
        <v>507</v>
      </c>
      <c r="B509" s="6" t="str">
        <f>"72072024112319443256201"</f>
        <v>72072024112319443256201</v>
      </c>
      <c r="C509" s="6" t="str">
        <f t="shared" si="117"/>
        <v>0104</v>
      </c>
      <c r="D509" s="6" t="s">
        <v>12</v>
      </c>
      <c r="E509" s="6" t="s">
        <v>9</v>
      </c>
      <c r="F509" s="6" t="str">
        <f>"桑叶"</f>
        <v>桑叶</v>
      </c>
      <c r="G509" s="6" t="str">
        <f t="shared" si="123"/>
        <v>女</v>
      </c>
    </row>
    <row r="510" customHeight="1" spans="1:7">
      <c r="A510" s="6">
        <v>508</v>
      </c>
      <c r="B510" s="6" t="str">
        <f>"72072024112217001853776"</f>
        <v>72072024112217001853776</v>
      </c>
      <c r="C510" s="6" t="str">
        <f t="shared" si="117"/>
        <v>0104</v>
      </c>
      <c r="D510" s="6" t="s">
        <v>12</v>
      </c>
      <c r="E510" s="6" t="s">
        <v>9</v>
      </c>
      <c r="F510" s="6" t="str">
        <f>"王聪"</f>
        <v>王聪</v>
      </c>
      <c r="G510" s="6" t="str">
        <f t="shared" si="124"/>
        <v>男</v>
      </c>
    </row>
    <row r="511" customHeight="1" spans="1:7">
      <c r="A511" s="6">
        <v>509</v>
      </c>
      <c r="B511" s="6" t="str">
        <f>"72072024112222430054582"</f>
        <v>72072024112222430054582</v>
      </c>
      <c r="C511" s="6" t="str">
        <f t="shared" si="117"/>
        <v>0104</v>
      </c>
      <c r="D511" s="6" t="s">
        <v>12</v>
      </c>
      <c r="E511" s="6" t="s">
        <v>9</v>
      </c>
      <c r="F511" s="6" t="str">
        <f>"高嘉明"</f>
        <v>高嘉明</v>
      </c>
      <c r="G511" s="6" t="str">
        <f t="shared" si="124"/>
        <v>男</v>
      </c>
    </row>
    <row r="512" customHeight="1" spans="1:7">
      <c r="A512" s="6">
        <v>510</v>
      </c>
      <c r="B512" s="6" t="str">
        <f>"72072024112301205554718"</f>
        <v>72072024112301205554718</v>
      </c>
      <c r="C512" s="6" t="str">
        <f t="shared" si="117"/>
        <v>0104</v>
      </c>
      <c r="D512" s="6" t="s">
        <v>12</v>
      </c>
      <c r="E512" s="6" t="s">
        <v>9</v>
      </c>
      <c r="F512" s="6" t="str">
        <f>"罗铭"</f>
        <v>罗铭</v>
      </c>
      <c r="G512" s="6" t="str">
        <f t="shared" si="123"/>
        <v>女</v>
      </c>
    </row>
    <row r="513" customHeight="1" spans="1:7">
      <c r="A513" s="6">
        <v>511</v>
      </c>
      <c r="B513" s="6" t="str">
        <f>"72072024112321321856421"</f>
        <v>72072024112321321856421</v>
      </c>
      <c r="C513" s="6" t="str">
        <f t="shared" si="117"/>
        <v>0104</v>
      </c>
      <c r="D513" s="6" t="s">
        <v>12</v>
      </c>
      <c r="E513" s="6" t="s">
        <v>9</v>
      </c>
      <c r="F513" s="6" t="str">
        <f>"符灵娜"</f>
        <v>符灵娜</v>
      </c>
      <c r="G513" s="6" t="str">
        <f t="shared" si="123"/>
        <v>女</v>
      </c>
    </row>
    <row r="514" customHeight="1" spans="1:7">
      <c r="A514" s="6">
        <v>512</v>
      </c>
      <c r="B514" s="6" t="str">
        <f>"72072024112314492855613"</f>
        <v>72072024112314492855613</v>
      </c>
      <c r="C514" s="6" t="str">
        <f t="shared" si="117"/>
        <v>0104</v>
      </c>
      <c r="D514" s="6" t="s">
        <v>12</v>
      </c>
      <c r="E514" s="6" t="s">
        <v>9</v>
      </c>
      <c r="F514" s="6" t="str">
        <f>"胡思思"</f>
        <v>胡思思</v>
      </c>
      <c r="G514" s="6" t="str">
        <f t="shared" si="123"/>
        <v>女</v>
      </c>
    </row>
    <row r="515" customHeight="1" spans="1:7">
      <c r="A515" s="6">
        <v>513</v>
      </c>
      <c r="B515" s="6" t="str">
        <f>"72072024112323484356647"</f>
        <v>72072024112323484356647</v>
      </c>
      <c r="C515" s="6" t="str">
        <f t="shared" si="117"/>
        <v>0104</v>
      </c>
      <c r="D515" s="6" t="s">
        <v>12</v>
      </c>
      <c r="E515" s="6" t="s">
        <v>9</v>
      </c>
      <c r="F515" s="6" t="str">
        <f>"吴益鋆"</f>
        <v>吴益鋆</v>
      </c>
      <c r="G515" s="6" t="str">
        <f>"男"</f>
        <v>男</v>
      </c>
    </row>
    <row r="516" customHeight="1" spans="1:7">
      <c r="A516" s="6">
        <v>514</v>
      </c>
      <c r="B516" s="6" t="str">
        <f>"72072024112323211556615"</f>
        <v>72072024112323211556615</v>
      </c>
      <c r="C516" s="6" t="str">
        <f t="shared" si="117"/>
        <v>0104</v>
      </c>
      <c r="D516" s="6" t="s">
        <v>12</v>
      </c>
      <c r="E516" s="6" t="s">
        <v>9</v>
      </c>
      <c r="F516" s="6" t="str">
        <f>"谢冰洁"</f>
        <v>谢冰洁</v>
      </c>
      <c r="G516" s="6" t="str">
        <f t="shared" ref="G516:G518" si="125">"女"</f>
        <v>女</v>
      </c>
    </row>
    <row r="517" customHeight="1" spans="1:7">
      <c r="A517" s="6">
        <v>515</v>
      </c>
      <c r="B517" s="6" t="str">
        <f>"72072024112409074056799"</f>
        <v>72072024112409074056799</v>
      </c>
      <c r="C517" s="6" t="str">
        <f t="shared" si="117"/>
        <v>0104</v>
      </c>
      <c r="D517" s="6" t="s">
        <v>12</v>
      </c>
      <c r="E517" s="6" t="s">
        <v>9</v>
      </c>
      <c r="F517" s="6" t="str">
        <f>"邢孔情"</f>
        <v>邢孔情</v>
      </c>
      <c r="G517" s="6" t="str">
        <f t="shared" si="125"/>
        <v>女</v>
      </c>
    </row>
    <row r="518" customHeight="1" spans="1:7">
      <c r="A518" s="6">
        <v>516</v>
      </c>
      <c r="B518" s="6" t="str">
        <f>"72072024112411031257065"</f>
        <v>72072024112411031257065</v>
      </c>
      <c r="C518" s="6" t="str">
        <f t="shared" si="117"/>
        <v>0104</v>
      </c>
      <c r="D518" s="6" t="s">
        <v>12</v>
      </c>
      <c r="E518" s="6" t="s">
        <v>9</v>
      </c>
      <c r="F518" s="6" t="str">
        <f>"郑佳琦"</f>
        <v>郑佳琦</v>
      </c>
      <c r="G518" s="6" t="str">
        <f t="shared" si="125"/>
        <v>女</v>
      </c>
    </row>
    <row r="519" customHeight="1" spans="1:7">
      <c r="A519" s="6">
        <v>517</v>
      </c>
      <c r="B519" s="6" t="str">
        <f>"72072024112320100156258"</f>
        <v>72072024112320100156258</v>
      </c>
      <c r="C519" s="6" t="str">
        <f t="shared" si="117"/>
        <v>0104</v>
      </c>
      <c r="D519" s="6" t="s">
        <v>12</v>
      </c>
      <c r="E519" s="6" t="s">
        <v>9</v>
      </c>
      <c r="F519" s="6" t="str">
        <f>"李俊豪"</f>
        <v>李俊豪</v>
      </c>
      <c r="G519" s="6" t="str">
        <f>"男"</f>
        <v>男</v>
      </c>
    </row>
    <row r="520" customHeight="1" spans="1:7">
      <c r="A520" s="6">
        <v>518</v>
      </c>
      <c r="B520" s="6" t="str">
        <f>"72072024112413112657388"</f>
        <v>72072024112413112657388</v>
      </c>
      <c r="C520" s="6" t="str">
        <f t="shared" si="117"/>
        <v>0104</v>
      </c>
      <c r="D520" s="6" t="s">
        <v>12</v>
      </c>
      <c r="E520" s="6" t="s">
        <v>9</v>
      </c>
      <c r="F520" s="6" t="str">
        <f>"王环樱"</f>
        <v>王环樱</v>
      </c>
      <c r="G520" s="6" t="str">
        <f t="shared" ref="G520:G524" si="126">"女"</f>
        <v>女</v>
      </c>
    </row>
    <row r="521" customHeight="1" spans="1:7">
      <c r="A521" s="6">
        <v>519</v>
      </c>
      <c r="B521" s="6" t="str">
        <f>"72072024112412270157286"</f>
        <v>72072024112412270157286</v>
      </c>
      <c r="C521" s="6" t="str">
        <f t="shared" si="117"/>
        <v>0104</v>
      </c>
      <c r="D521" s="6" t="s">
        <v>12</v>
      </c>
      <c r="E521" s="6" t="s">
        <v>9</v>
      </c>
      <c r="F521" s="6" t="str">
        <f>"陈小环"</f>
        <v>陈小环</v>
      </c>
      <c r="G521" s="6" t="str">
        <f t="shared" si="126"/>
        <v>女</v>
      </c>
    </row>
    <row r="522" customHeight="1" spans="1:7">
      <c r="A522" s="6">
        <v>520</v>
      </c>
      <c r="B522" s="6" t="str">
        <f>"72072024112413351057446"</f>
        <v>72072024112413351057446</v>
      </c>
      <c r="C522" s="6" t="str">
        <f t="shared" si="117"/>
        <v>0104</v>
      </c>
      <c r="D522" s="6" t="s">
        <v>12</v>
      </c>
      <c r="E522" s="6" t="s">
        <v>9</v>
      </c>
      <c r="F522" s="6" t="str">
        <f>"刘海强"</f>
        <v>刘海强</v>
      </c>
      <c r="G522" s="6" t="str">
        <f t="shared" ref="G522:G526" si="127">"男"</f>
        <v>男</v>
      </c>
    </row>
    <row r="523" customHeight="1" spans="1:7">
      <c r="A523" s="6">
        <v>521</v>
      </c>
      <c r="B523" s="6" t="str">
        <f>"72072024112412201557267"</f>
        <v>72072024112412201557267</v>
      </c>
      <c r="C523" s="6" t="str">
        <f t="shared" si="117"/>
        <v>0104</v>
      </c>
      <c r="D523" s="6" t="s">
        <v>12</v>
      </c>
      <c r="E523" s="6" t="s">
        <v>9</v>
      </c>
      <c r="F523" s="6" t="str">
        <f>"翁巍源"</f>
        <v>翁巍源</v>
      </c>
      <c r="G523" s="6" t="str">
        <f t="shared" si="126"/>
        <v>女</v>
      </c>
    </row>
    <row r="524" customHeight="1" spans="1:7">
      <c r="A524" s="6">
        <v>522</v>
      </c>
      <c r="B524" s="6" t="str">
        <f>"72072024112319070956125"</f>
        <v>72072024112319070956125</v>
      </c>
      <c r="C524" s="6" t="str">
        <f t="shared" si="117"/>
        <v>0104</v>
      </c>
      <c r="D524" s="6" t="s">
        <v>12</v>
      </c>
      <c r="E524" s="6" t="s">
        <v>9</v>
      </c>
      <c r="F524" s="6" t="str">
        <f>"沈莹"</f>
        <v>沈莹</v>
      </c>
      <c r="G524" s="6" t="str">
        <f t="shared" si="126"/>
        <v>女</v>
      </c>
    </row>
    <row r="525" customHeight="1" spans="1:7">
      <c r="A525" s="6">
        <v>523</v>
      </c>
      <c r="B525" s="6" t="str">
        <f>"72072024112417041958015"</f>
        <v>72072024112417041958015</v>
      </c>
      <c r="C525" s="6" t="str">
        <f t="shared" si="117"/>
        <v>0104</v>
      </c>
      <c r="D525" s="6" t="s">
        <v>12</v>
      </c>
      <c r="E525" s="6" t="s">
        <v>9</v>
      </c>
      <c r="F525" s="6" t="str">
        <f>"钟平"</f>
        <v>钟平</v>
      </c>
      <c r="G525" s="6" t="str">
        <f t="shared" si="127"/>
        <v>男</v>
      </c>
    </row>
    <row r="526" customHeight="1" spans="1:7">
      <c r="A526" s="6">
        <v>524</v>
      </c>
      <c r="B526" s="6" t="str">
        <f>"72072024112300041854677"</f>
        <v>72072024112300041854677</v>
      </c>
      <c r="C526" s="6" t="str">
        <f t="shared" si="117"/>
        <v>0104</v>
      </c>
      <c r="D526" s="6" t="s">
        <v>12</v>
      </c>
      <c r="E526" s="6" t="s">
        <v>9</v>
      </c>
      <c r="F526" s="6" t="str">
        <f>"陈岳"</f>
        <v>陈岳</v>
      </c>
      <c r="G526" s="6" t="str">
        <f t="shared" si="127"/>
        <v>男</v>
      </c>
    </row>
    <row r="527" customHeight="1" spans="1:7">
      <c r="A527" s="6">
        <v>525</v>
      </c>
      <c r="B527" s="6" t="str">
        <f>"72072024112318362356081"</f>
        <v>72072024112318362356081</v>
      </c>
      <c r="C527" s="6" t="str">
        <f t="shared" si="117"/>
        <v>0104</v>
      </c>
      <c r="D527" s="6" t="s">
        <v>12</v>
      </c>
      <c r="E527" s="6" t="s">
        <v>9</v>
      </c>
      <c r="F527" s="6" t="str">
        <f>"黄盈盈"</f>
        <v>黄盈盈</v>
      </c>
      <c r="G527" s="6" t="str">
        <f t="shared" ref="G527:G531" si="128">"女"</f>
        <v>女</v>
      </c>
    </row>
    <row r="528" customHeight="1" spans="1:7">
      <c r="A528" s="6">
        <v>526</v>
      </c>
      <c r="B528" s="6" t="str">
        <f>"72072024112314515155620"</f>
        <v>72072024112314515155620</v>
      </c>
      <c r="C528" s="6" t="str">
        <f t="shared" si="117"/>
        <v>0104</v>
      </c>
      <c r="D528" s="6" t="s">
        <v>12</v>
      </c>
      <c r="E528" s="6" t="s">
        <v>9</v>
      </c>
      <c r="F528" s="6" t="str">
        <f>"彭洁"</f>
        <v>彭洁</v>
      </c>
      <c r="G528" s="6" t="str">
        <f t="shared" si="128"/>
        <v>女</v>
      </c>
    </row>
    <row r="529" customHeight="1" spans="1:7">
      <c r="A529" s="6">
        <v>527</v>
      </c>
      <c r="B529" s="6" t="str">
        <f>"72072024112420483258676"</f>
        <v>72072024112420483258676</v>
      </c>
      <c r="C529" s="6" t="str">
        <f t="shared" si="117"/>
        <v>0104</v>
      </c>
      <c r="D529" s="6" t="s">
        <v>12</v>
      </c>
      <c r="E529" s="6" t="s">
        <v>9</v>
      </c>
      <c r="F529" s="6" t="str">
        <f>"郭晓萍"</f>
        <v>郭晓萍</v>
      </c>
      <c r="G529" s="6" t="str">
        <f t="shared" si="128"/>
        <v>女</v>
      </c>
    </row>
    <row r="530" customHeight="1" spans="1:7">
      <c r="A530" s="6">
        <v>528</v>
      </c>
      <c r="B530" s="6" t="str">
        <f>"72072024112210422452677"</f>
        <v>72072024112210422452677</v>
      </c>
      <c r="C530" s="6" t="str">
        <f t="shared" si="117"/>
        <v>0104</v>
      </c>
      <c r="D530" s="6" t="s">
        <v>12</v>
      </c>
      <c r="E530" s="6" t="s">
        <v>9</v>
      </c>
      <c r="F530" s="6" t="str">
        <f>"陈玲仙"</f>
        <v>陈玲仙</v>
      </c>
      <c r="G530" s="6" t="str">
        <f t="shared" si="128"/>
        <v>女</v>
      </c>
    </row>
    <row r="531" customHeight="1" spans="1:7">
      <c r="A531" s="6">
        <v>529</v>
      </c>
      <c r="B531" s="6" t="str">
        <f>"72072024112422063258950"</f>
        <v>72072024112422063258950</v>
      </c>
      <c r="C531" s="6" t="str">
        <f t="shared" si="117"/>
        <v>0104</v>
      </c>
      <c r="D531" s="6" t="s">
        <v>12</v>
      </c>
      <c r="E531" s="6" t="s">
        <v>9</v>
      </c>
      <c r="F531" s="6" t="str">
        <f>"何小雨"</f>
        <v>何小雨</v>
      </c>
      <c r="G531" s="6" t="str">
        <f t="shared" si="128"/>
        <v>女</v>
      </c>
    </row>
    <row r="532" customHeight="1" spans="1:7">
      <c r="A532" s="6">
        <v>530</v>
      </c>
      <c r="B532" s="6" t="str">
        <f>"72072024112422394259061"</f>
        <v>72072024112422394259061</v>
      </c>
      <c r="C532" s="6" t="str">
        <f t="shared" si="117"/>
        <v>0104</v>
      </c>
      <c r="D532" s="6" t="s">
        <v>12</v>
      </c>
      <c r="E532" s="6" t="s">
        <v>9</v>
      </c>
      <c r="F532" s="6" t="str">
        <f>"陈浩雄"</f>
        <v>陈浩雄</v>
      </c>
      <c r="G532" s="6" t="str">
        <f>"男"</f>
        <v>男</v>
      </c>
    </row>
    <row r="533" customHeight="1" spans="1:7">
      <c r="A533" s="6">
        <v>531</v>
      </c>
      <c r="B533" s="6" t="str">
        <f>"72072024112419563358505"</f>
        <v>72072024112419563358505</v>
      </c>
      <c r="C533" s="6" t="str">
        <f t="shared" si="117"/>
        <v>0104</v>
      </c>
      <c r="D533" s="6" t="s">
        <v>12</v>
      </c>
      <c r="E533" s="6" t="s">
        <v>9</v>
      </c>
      <c r="F533" s="6" t="str">
        <f>"梁振森"</f>
        <v>梁振森</v>
      </c>
      <c r="G533" s="6" t="str">
        <f>"男"</f>
        <v>男</v>
      </c>
    </row>
    <row r="534" customHeight="1" spans="1:7">
      <c r="A534" s="6">
        <v>532</v>
      </c>
      <c r="B534" s="6" t="str">
        <f>"72072024112509334160280"</f>
        <v>72072024112509334160280</v>
      </c>
      <c r="C534" s="6" t="str">
        <f t="shared" si="117"/>
        <v>0104</v>
      </c>
      <c r="D534" s="6" t="s">
        <v>12</v>
      </c>
      <c r="E534" s="6" t="s">
        <v>9</v>
      </c>
      <c r="F534" s="6" t="str">
        <f>"钱秋香"</f>
        <v>钱秋香</v>
      </c>
      <c r="G534" s="6" t="str">
        <f t="shared" ref="G534:G537" si="129">"女"</f>
        <v>女</v>
      </c>
    </row>
    <row r="535" customHeight="1" spans="1:7">
      <c r="A535" s="6">
        <v>533</v>
      </c>
      <c r="B535" s="6" t="str">
        <f>"72072024112510455861406"</f>
        <v>72072024112510455861406</v>
      </c>
      <c r="C535" s="6" t="str">
        <f t="shared" si="117"/>
        <v>0104</v>
      </c>
      <c r="D535" s="6" t="s">
        <v>12</v>
      </c>
      <c r="E535" s="6" t="s">
        <v>9</v>
      </c>
      <c r="F535" s="6" t="str">
        <f>"吴秋梅"</f>
        <v>吴秋梅</v>
      </c>
      <c r="G535" s="6" t="str">
        <f t="shared" si="129"/>
        <v>女</v>
      </c>
    </row>
    <row r="536" customHeight="1" spans="1:7">
      <c r="A536" s="6">
        <v>534</v>
      </c>
      <c r="B536" s="6" t="str">
        <f>"72072024112510153460964"</f>
        <v>72072024112510153460964</v>
      </c>
      <c r="C536" s="6" t="str">
        <f t="shared" si="117"/>
        <v>0104</v>
      </c>
      <c r="D536" s="6" t="s">
        <v>12</v>
      </c>
      <c r="E536" s="6" t="s">
        <v>9</v>
      </c>
      <c r="F536" s="6" t="str">
        <f>"符英德"</f>
        <v>符英德</v>
      </c>
      <c r="G536" s="6" t="str">
        <f t="shared" si="129"/>
        <v>女</v>
      </c>
    </row>
    <row r="537" customHeight="1" spans="1:7">
      <c r="A537" s="6">
        <v>535</v>
      </c>
      <c r="B537" s="6" t="str">
        <f>"72072024112511014861650"</f>
        <v>72072024112511014861650</v>
      </c>
      <c r="C537" s="6" t="str">
        <f t="shared" si="117"/>
        <v>0104</v>
      </c>
      <c r="D537" s="6" t="s">
        <v>12</v>
      </c>
      <c r="E537" s="6" t="s">
        <v>9</v>
      </c>
      <c r="F537" s="6" t="str">
        <f>"邢冬"</f>
        <v>邢冬</v>
      </c>
      <c r="G537" s="6" t="str">
        <f t="shared" si="129"/>
        <v>女</v>
      </c>
    </row>
    <row r="538" customHeight="1" spans="1:7">
      <c r="A538" s="6">
        <v>536</v>
      </c>
      <c r="B538" s="6" t="str">
        <f>"72072024112513221762975"</f>
        <v>72072024112513221762975</v>
      </c>
      <c r="C538" s="6" t="str">
        <f t="shared" si="117"/>
        <v>0104</v>
      </c>
      <c r="D538" s="6" t="s">
        <v>12</v>
      </c>
      <c r="E538" s="6" t="s">
        <v>9</v>
      </c>
      <c r="F538" s="6" t="str">
        <f>"林子淳"</f>
        <v>林子淳</v>
      </c>
      <c r="G538" s="6" t="str">
        <f t="shared" ref="G538:G543" si="130">"男"</f>
        <v>男</v>
      </c>
    </row>
    <row r="539" customHeight="1" spans="1:7">
      <c r="A539" s="6">
        <v>537</v>
      </c>
      <c r="B539" s="6" t="str">
        <f>"72072024112313082055391"</f>
        <v>72072024112313082055391</v>
      </c>
      <c r="C539" s="6" t="str">
        <f t="shared" si="117"/>
        <v>0104</v>
      </c>
      <c r="D539" s="6" t="s">
        <v>12</v>
      </c>
      <c r="E539" s="6" t="s">
        <v>9</v>
      </c>
      <c r="F539" s="6" t="str">
        <f>"赵芳"</f>
        <v>赵芳</v>
      </c>
      <c r="G539" s="6" t="str">
        <f t="shared" ref="G539:G542" si="131">"女"</f>
        <v>女</v>
      </c>
    </row>
    <row r="540" customHeight="1" spans="1:7">
      <c r="A540" s="6">
        <v>538</v>
      </c>
      <c r="B540" s="6" t="str">
        <f>"72072024112510271361144"</f>
        <v>72072024112510271361144</v>
      </c>
      <c r="C540" s="6" t="str">
        <f t="shared" si="117"/>
        <v>0104</v>
      </c>
      <c r="D540" s="6" t="s">
        <v>12</v>
      </c>
      <c r="E540" s="6" t="s">
        <v>9</v>
      </c>
      <c r="F540" s="6" t="str">
        <f>"冯周喜"</f>
        <v>冯周喜</v>
      </c>
      <c r="G540" s="6" t="str">
        <f t="shared" si="131"/>
        <v>女</v>
      </c>
    </row>
    <row r="541" customHeight="1" spans="1:7">
      <c r="A541" s="6">
        <v>539</v>
      </c>
      <c r="B541" s="6" t="str">
        <f>"72072024112515135864107"</f>
        <v>72072024112515135864107</v>
      </c>
      <c r="C541" s="6" t="str">
        <f t="shared" si="117"/>
        <v>0104</v>
      </c>
      <c r="D541" s="6" t="s">
        <v>12</v>
      </c>
      <c r="E541" s="6" t="s">
        <v>9</v>
      </c>
      <c r="F541" s="6" t="str">
        <f>"黄健宁"</f>
        <v>黄健宁</v>
      </c>
      <c r="G541" s="6" t="str">
        <f t="shared" si="130"/>
        <v>男</v>
      </c>
    </row>
    <row r="542" customHeight="1" spans="1:7">
      <c r="A542" s="6">
        <v>540</v>
      </c>
      <c r="B542" s="6" t="str">
        <f>"72072024112514590463903"</f>
        <v>72072024112514590463903</v>
      </c>
      <c r="C542" s="6" t="str">
        <f t="shared" si="117"/>
        <v>0104</v>
      </c>
      <c r="D542" s="6" t="s">
        <v>12</v>
      </c>
      <c r="E542" s="6" t="s">
        <v>9</v>
      </c>
      <c r="F542" s="6" t="str">
        <f>"邢丽华"</f>
        <v>邢丽华</v>
      </c>
      <c r="G542" s="6" t="str">
        <f t="shared" si="131"/>
        <v>女</v>
      </c>
    </row>
    <row r="543" customHeight="1" spans="1:7">
      <c r="A543" s="6">
        <v>541</v>
      </c>
      <c r="B543" s="6" t="str">
        <f>"72072024112515140864111"</f>
        <v>72072024112515140864111</v>
      </c>
      <c r="C543" s="6" t="str">
        <f t="shared" ref="C543:C606" si="132">"0104"</f>
        <v>0104</v>
      </c>
      <c r="D543" s="6" t="s">
        <v>12</v>
      </c>
      <c r="E543" s="6" t="s">
        <v>9</v>
      </c>
      <c r="F543" s="6" t="str">
        <f>"蔡树智"</f>
        <v>蔡树智</v>
      </c>
      <c r="G543" s="6" t="str">
        <f t="shared" si="130"/>
        <v>男</v>
      </c>
    </row>
    <row r="544" customHeight="1" spans="1:7">
      <c r="A544" s="6">
        <v>542</v>
      </c>
      <c r="B544" s="6" t="str">
        <f>"72072024112509535060639"</f>
        <v>72072024112509535060639</v>
      </c>
      <c r="C544" s="6" t="str">
        <f t="shared" si="132"/>
        <v>0104</v>
      </c>
      <c r="D544" s="6" t="s">
        <v>12</v>
      </c>
      <c r="E544" s="6" t="s">
        <v>9</v>
      </c>
      <c r="F544" s="6" t="str">
        <f>"吉香亲"</f>
        <v>吉香亲</v>
      </c>
      <c r="G544" s="6" t="str">
        <f t="shared" ref="G544:G547" si="133">"女"</f>
        <v>女</v>
      </c>
    </row>
    <row r="545" customHeight="1" spans="1:7">
      <c r="A545" s="6">
        <v>543</v>
      </c>
      <c r="B545" s="6" t="str">
        <f>"72072024112515370664425"</f>
        <v>72072024112515370664425</v>
      </c>
      <c r="C545" s="6" t="str">
        <f t="shared" si="132"/>
        <v>0104</v>
      </c>
      <c r="D545" s="6" t="s">
        <v>12</v>
      </c>
      <c r="E545" s="6" t="s">
        <v>9</v>
      </c>
      <c r="F545" s="6" t="str">
        <f>"何际勋"</f>
        <v>何际勋</v>
      </c>
      <c r="G545" s="6" t="str">
        <f>"男"</f>
        <v>男</v>
      </c>
    </row>
    <row r="546" customHeight="1" spans="1:7">
      <c r="A546" s="6">
        <v>544</v>
      </c>
      <c r="B546" s="6" t="str">
        <f>"72072024112510150460958"</f>
        <v>72072024112510150460958</v>
      </c>
      <c r="C546" s="6" t="str">
        <f t="shared" si="132"/>
        <v>0104</v>
      </c>
      <c r="D546" s="6" t="s">
        <v>12</v>
      </c>
      <c r="E546" s="6" t="s">
        <v>9</v>
      </c>
      <c r="F546" s="6" t="str">
        <f>"李娜"</f>
        <v>李娜</v>
      </c>
      <c r="G546" s="6" t="str">
        <f t="shared" si="133"/>
        <v>女</v>
      </c>
    </row>
    <row r="547" customHeight="1" spans="1:7">
      <c r="A547" s="6">
        <v>545</v>
      </c>
      <c r="B547" s="6" t="str">
        <f>"72072024112209580352483"</f>
        <v>72072024112209580352483</v>
      </c>
      <c r="C547" s="6" t="str">
        <f t="shared" si="132"/>
        <v>0104</v>
      </c>
      <c r="D547" s="6" t="s">
        <v>12</v>
      </c>
      <c r="E547" s="6" t="s">
        <v>9</v>
      </c>
      <c r="F547" s="6" t="str">
        <f>"吉家红"</f>
        <v>吉家红</v>
      </c>
      <c r="G547" s="6" t="str">
        <f t="shared" si="133"/>
        <v>女</v>
      </c>
    </row>
    <row r="548" customHeight="1" spans="1:7">
      <c r="A548" s="6">
        <v>546</v>
      </c>
      <c r="B548" s="6" t="str">
        <f>"72072024112515584064698"</f>
        <v>72072024112515584064698</v>
      </c>
      <c r="C548" s="6" t="str">
        <f t="shared" si="132"/>
        <v>0104</v>
      </c>
      <c r="D548" s="6" t="s">
        <v>12</v>
      </c>
      <c r="E548" s="6" t="s">
        <v>9</v>
      </c>
      <c r="F548" s="6" t="str">
        <f>"董开安"</f>
        <v>董开安</v>
      </c>
      <c r="G548" s="6" t="str">
        <f>"男"</f>
        <v>男</v>
      </c>
    </row>
    <row r="549" customHeight="1" spans="1:7">
      <c r="A549" s="6">
        <v>547</v>
      </c>
      <c r="B549" s="6" t="str">
        <f>"72072024112310011954970"</f>
        <v>72072024112310011954970</v>
      </c>
      <c r="C549" s="6" t="str">
        <f t="shared" si="132"/>
        <v>0104</v>
      </c>
      <c r="D549" s="6" t="s">
        <v>12</v>
      </c>
      <c r="E549" s="6" t="s">
        <v>9</v>
      </c>
      <c r="F549" s="6" t="str">
        <f>"苏运史"</f>
        <v>苏运史</v>
      </c>
      <c r="G549" s="6" t="str">
        <f t="shared" ref="G549:G554" si="134">"女"</f>
        <v>女</v>
      </c>
    </row>
    <row r="550" customHeight="1" spans="1:7">
      <c r="A550" s="6">
        <v>548</v>
      </c>
      <c r="B550" s="6" t="str">
        <f>"72072024112516201864909"</f>
        <v>72072024112516201864909</v>
      </c>
      <c r="C550" s="6" t="str">
        <f t="shared" si="132"/>
        <v>0104</v>
      </c>
      <c r="D550" s="6" t="s">
        <v>12</v>
      </c>
      <c r="E550" s="6" t="s">
        <v>9</v>
      </c>
      <c r="F550" s="6" t="str">
        <f>"麦孔妹"</f>
        <v>麦孔妹</v>
      </c>
      <c r="G550" s="6" t="str">
        <f t="shared" si="134"/>
        <v>女</v>
      </c>
    </row>
    <row r="551" customHeight="1" spans="1:7">
      <c r="A551" s="6">
        <v>549</v>
      </c>
      <c r="B551" s="6" t="str">
        <f>"72072024112414153357562"</f>
        <v>72072024112414153357562</v>
      </c>
      <c r="C551" s="6" t="str">
        <f t="shared" si="132"/>
        <v>0104</v>
      </c>
      <c r="D551" s="6" t="s">
        <v>12</v>
      </c>
      <c r="E551" s="6" t="s">
        <v>9</v>
      </c>
      <c r="F551" s="6" t="str">
        <f>"吉美谍"</f>
        <v>吉美谍</v>
      </c>
      <c r="G551" s="6" t="str">
        <f t="shared" si="134"/>
        <v>女</v>
      </c>
    </row>
    <row r="552" customHeight="1" spans="1:7">
      <c r="A552" s="6">
        <v>550</v>
      </c>
      <c r="B552" s="6" t="str">
        <f>"72072024112516360465055"</f>
        <v>72072024112516360465055</v>
      </c>
      <c r="C552" s="6" t="str">
        <f t="shared" si="132"/>
        <v>0104</v>
      </c>
      <c r="D552" s="6" t="s">
        <v>12</v>
      </c>
      <c r="E552" s="6" t="s">
        <v>9</v>
      </c>
      <c r="F552" s="6" t="str">
        <f>"吴丽霞"</f>
        <v>吴丽霞</v>
      </c>
      <c r="G552" s="6" t="str">
        <f t="shared" si="134"/>
        <v>女</v>
      </c>
    </row>
    <row r="553" customHeight="1" spans="1:7">
      <c r="A553" s="6">
        <v>551</v>
      </c>
      <c r="B553" s="6" t="str">
        <f>"72072024112210342752636"</f>
        <v>72072024112210342752636</v>
      </c>
      <c r="C553" s="6" t="str">
        <f t="shared" si="132"/>
        <v>0104</v>
      </c>
      <c r="D553" s="6" t="s">
        <v>12</v>
      </c>
      <c r="E553" s="6" t="s">
        <v>9</v>
      </c>
      <c r="F553" s="6" t="str">
        <f>"林岸"</f>
        <v>林岸</v>
      </c>
      <c r="G553" s="6" t="str">
        <f t="shared" si="134"/>
        <v>女</v>
      </c>
    </row>
    <row r="554" customHeight="1" spans="1:7">
      <c r="A554" s="6">
        <v>552</v>
      </c>
      <c r="B554" s="6" t="str">
        <f>"72072024112511422462118"</f>
        <v>72072024112511422462118</v>
      </c>
      <c r="C554" s="6" t="str">
        <f t="shared" si="132"/>
        <v>0104</v>
      </c>
      <c r="D554" s="6" t="s">
        <v>12</v>
      </c>
      <c r="E554" s="6" t="s">
        <v>9</v>
      </c>
      <c r="F554" s="6" t="str">
        <f>"黎萍"</f>
        <v>黎萍</v>
      </c>
      <c r="G554" s="6" t="str">
        <f t="shared" si="134"/>
        <v>女</v>
      </c>
    </row>
    <row r="555" customHeight="1" spans="1:7">
      <c r="A555" s="6">
        <v>553</v>
      </c>
      <c r="B555" s="6" t="str">
        <f>"72072024112517142565361"</f>
        <v>72072024112517142565361</v>
      </c>
      <c r="C555" s="6" t="str">
        <f t="shared" si="132"/>
        <v>0104</v>
      </c>
      <c r="D555" s="6" t="s">
        <v>12</v>
      </c>
      <c r="E555" s="6" t="s">
        <v>9</v>
      </c>
      <c r="F555" s="6" t="str">
        <f>"周俊宇"</f>
        <v>周俊宇</v>
      </c>
      <c r="G555" s="6" t="str">
        <f t="shared" ref="G555:G558" si="135">"男"</f>
        <v>男</v>
      </c>
    </row>
    <row r="556" customHeight="1" spans="1:7">
      <c r="A556" s="6">
        <v>554</v>
      </c>
      <c r="B556" s="6" t="str">
        <f>"72072024112310351355055"</f>
        <v>72072024112310351355055</v>
      </c>
      <c r="C556" s="6" t="str">
        <f t="shared" si="132"/>
        <v>0104</v>
      </c>
      <c r="D556" s="6" t="s">
        <v>12</v>
      </c>
      <c r="E556" s="6" t="s">
        <v>9</v>
      </c>
      <c r="F556" s="6" t="str">
        <f>"周游"</f>
        <v>周游</v>
      </c>
      <c r="G556" s="6" t="str">
        <f t="shared" si="135"/>
        <v>男</v>
      </c>
    </row>
    <row r="557" customHeight="1" spans="1:7">
      <c r="A557" s="6">
        <v>555</v>
      </c>
      <c r="B557" s="6" t="str">
        <f>"72072024112415205957723"</f>
        <v>72072024112415205957723</v>
      </c>
      <c r="C557" s="6" t="str">
        <f t="shared" si="132"/>
        <v>0104</v>
      </c>
      <c r="D557" s="6" t="s">
        <v>12</v>
      </c>
      <c r="E557" s="6" t="s">
        <v>9</v>
      </c>
      <c r="F557" s="6" t="str">
        <f>"邢娇"</f>
        <v>邢娇</v>
      </c>
      <c r="G557" s="6" t="str">
        <f t="shared" ref="G557:G564" si="136">"女"</f>
        <v>女</v>
      </c>
    </row>
    <row r="558" customHeight="1" spans="1:7">
      <c r="A558" s="6">
        <v>556</v>
      </c>
      <c r="B558" s="6" t="str">
        <f>"72072024112300185654687"</f>
        <v>72072024112300185654687</v>
      </c>
      <c r="C558" s="6" t="str">
        <f t="shared" si="132"/>
        <v>0104</v>
      </c>
      <c r="D558" s="6" t="s">
        <v>12</v>
      </c>
      <c r="E558" s="6" t="s">
        <v>9</v>
      </c>
      <c r="F558" s="6" t="str">
        <f>"陈科锦"</f>
        <v>陈科锦</v>
      </c>
      <c r="G558" s="6" t="str">
        <f t="shared" si="135"/>
        <v>男</v>
      </c>
    </row>
    <row r="559" customHeight="1" spans="1:7">
      <c r="A559" s="6">
        <v>557</v>
      </c>
      <c r="B559" s="6" t="str">
        <f>"72072024112220343554307"</f>
        <v>72072024112220343554307</v>
      </c>
      <c r="C559" s="6" t="str">
        <f t="shared" si="132"/>
        <v>0104</v>
      </c>
      <c r="D559" s="6" t="s">
        <v>12</v>
      </c>
      <c r="E559" s="6" t="s">
        <v>9</v>
      </c>
      <c r="F559" s="6" t="str">
        <f>"黄宁"</f>
        <v>黄宁</v>
      </c>
      <c r="G559" s="6" t="str">
        <f t="shared" si="136"/>
        <v>女</v>
      </c>
    </row>
    <row r="560" customHeight="1" spans="1:7">
      <c r="A560" s="6">
        <v>558</v>
      </c>
      <c r="B560" s="6" t="str">
        <f>"72072024112520032966144"</f>
        <v>72072024112520032966144</v>
      </c>
      <c r="C560" s="6" t="str">
        <f t="shared" si="132"/>
        <v>0104</v>
      </c>
      <c r="D560" s="6" t="s">
        <v>12</v>
      </c>
      <c r="E560" s="6" t="s">
        <v>9</v>
      </c>
      <c r="F560" s="6" t="str">
        <f>"徐嘉嘉"</f>
        <v>徐嘉嘉</v>
      </c>
      <c r="G560" s="6" t="str">
        <f t="shared" si="136"/>
        <v>女</v>
      </c>
    </row>
    <row r="561" customHeight="1" spans="1:7">
      <c r="A561" s="6">
        <v>559</v>
      </c>
      <c r="B561" s="6" t="str">
        <f>"72072024112515254164275"</f>
        <v>72072024112515254164275</v>
      </c>
      <c r="C561" s="6" t="str">
        <f t="shared" si="132"/>
        <v>0104</v>
      </c>
      <c r="D561" s="6" t="s">
        <v>12</v>
      </c>
      <c r="E561" s="6" t="s">
        <v>9</v>
      </c>
      <c r="F561" s="6" t="str">
        <f>"苻心如"</f>
        <v>苻心如</v>
      </c>
      <c r="G561" s="6" t="str">
        <f t="shared" si="136"/>
        <v>女</v>
      </c>
    </row>
    <row r="562" customHeight="1" spans="1:7">
      <c r="A562" s="6">
        <v>560</v>
      </c>
      <c r="B562" s="6" t="str">
        <f>"72072024112521334666577"</f>
        <v>72072024112521334666577</v>
      </c>
      <c r="C562" s="6" t="str">
        <f t="shared" si="132"/>
        <v>0104</v>
      </c>
      <c r="D562" s="6" t="s">
        <v>12</v>
      </c>
      <c r="E562" s="6" t="s">
        <v>9</v>
      </c>
      <c r="F562" s="6" t="str">
        <f>"王思雨"</f>
        <v>王思雨</v>
      </c>
      <c r="G562" s="6" t="str">
        <f t="shared" si="136"/>
        <v>女</v>
      </c>
    </row>
    <row r="563" customHeight="1" spans="1:7">
      <c r="A563" s="6">
        <v>561</v>
      </c>
      <c r="B563" s="6" t="str">
        <f>"72072024112219345654154"</f>
        <v>72072024112219345654154</v>
      </c>
      <c r="C563" s="6" t="str">
        <f t="shared" si="132"/>
        <v>0104</v>
      </c>
      <c r="D563" s="6" t="s">
        <v>12</v>
      </c>
      <c r="E563" s="6" t="s">
        <v>9</v>
      </c>
      <c r="F563" s="6" t="str">
        <f>"刘巧"</f>
        <v>刘巧</v>
      </c>
      <c r="G563" s="6" t="str">
        <f t="shared" si="136"/>
        <v>女</v>
      </c>
    </row>
    <row r="564" customHeight="1" spans="1:7">
      <c r="A564" s="6">
        <v>562</v>
      </c>
      <c r="B564" s="6" t="str">
        <f>"72072024112422430359070"</f>
        <v>72072024112422430359070</v>
      </c>
      <c r="C564" s="6" t="str">
        <f t="shared" si="132"/>
        <v>0104</v>
      </c>
      <c r="D564" s="6" t="s">
        <v>12</v>
      </c>
      <c r="E564" s="6" t="s">
        <v>9</v>
      </c>
      <c r="F564" s="6" t="str">
        <f>"方慧灵"</f>
        <v>方慧灵</v>
      </c>
      <c r="G564" s="6" t="str">
        <f t="shared" si="136"/>
        <v>女</v>
      </c>
    </row>
    <row r="565" customHeight="1" spans="1:7">
      <c r="A565" s="6">
        <v>563</v>
      </c>
      <c r="B565" s="6" t="str">
        <f>"72072024112223164754636"</f>
        <v>72072024112223164754636</v>
      </c>
      <c r="C565" s="6" t="str">
        <f t="shared" si="132"/>
        <v>0104</v>
      </c>
      <c r="D565" s="6" t="s">
        <v>12</v>
      </c>
      <c r="E565" s="6" t="s">
        <v>9</v>
      </c>
      <c r="F565" s="6" t="str">
        <f>"符厅"</f>
        <v>符厅</v>
      </c>
      <c r="G565" s="6" t="str">
        <f>"男"</f>
        <v>男</v>
      </c>
    </row>
    <row r="566" customHeight="1" spans="1:7">
      <c r="A566" s="6">
        <v>564</v>
      </c>
      <c r="B566" s="6" t="str">
        <f>"72072024112521004166432"</f>
        <v>72072024112521004166432</v>
      </c>
      <c r="C566" s="6" t="str">
        <f t="shared" si="132"/>
        <v>0104</v>
      </c>
      <c r="D566" s="6" t="s">
        <v>12</v>
      </c>
      <c r="E566" s="6" t="s">
        <v>9</v>
      </c>
      <c r="F566" s="6" t="str">
        <f>"黄碧游"</f>
        <v>黄碧游</v>
      </c>
      <c r="G566" s="6" t="str">
        <f t="shared" ref="G566:G569" si="137">"女"</f>
        <v>女</v>
      </c>
    </row>
    <row r="567" customHeight="1" spans="1:7">
      <c r="A567" s="6">
        <v>565</v>
      </c>
      <c r="B567" s="6" t="str">
        <f>"72072024112310191855017"</f>
        <v>72072024112310191855017</v>
      </c>
      <c r="C567" s="6" t="str">
        <f t="shared" si="132"/>
        <v>0104</v>
      </c>
      <c r="D567" s="6" t="s">
        <v>12</v>
      </c>
      <c r="E567" s="6" t="s">
        <v>9</v>
      </c>
      <c r="F567" s="6" t="str">
        <f>"高晓珊"</f>
        <v>高晓珊</v>
      </c>
      <c r="G567" s="6" t="str">
        <f t="shared" si="137"/>
        <v>女</v>
      </c>
    </row>
    <row r="568" customHeight="1" spans="1:7">
      <c r="A568" s="6">
        <v>566</v>
      </c>
      <c r="B568" s="6" t="str">
        <f>"72072024112516182864892"</f>
        <v>72072024112516182864892</v>
      </c>
      <c r="C568" s="6" t="str">
        <f t="shared" si="132"/>
        <v>0104</v>
      </c>
      <c r="D568" s="6" t="s">
        <v>12</v>
      </c>
      <c r="E568" s="6" t="s">
        <v>9</v>
      </c>
      <c r="F568" s="6" t="str">
        <f>"孙发云"</f>
        <v>孙发云</v>
      </c>
      <c r="G568" s="6" t="str">
        <f t="shared" si="137"/>
        <v>女</v>
      </c>
    </row>
    <row r="569" customHeight="1" spans="1:7">
      <c r="A569" s="6">
        <v>567</v>
      </c>
      <c r="B569" s="6" t="str">
        <f>"72072024112513160162914"</f>
        <v>72072024112513160162914</v>
      </c>
      <c r="C569" s="6" t="str">
        <f t="shared" si="132"/>
        <v>0104</v>
      </c>
      <c r="D569" s="6" t="s">
        <v>12</v>
      </c>
      <c r="E569" s="6" t="s">
        <v>9</v>
      </c>
      <c r="F569" s="6" t="str">
        <f>"陈凯蒂"</f>
        <v>陈凯蒂</v>
      </c>
      <c r="G569" s="6" t="str">
        <f t="shared" si="137"/>
        <v>女</v>
      </c>
    </row>
    <row r="570" customHeight="1" spans="1:7">
      <c r="A570" s="6">
        <v>568</v>
      </c>
      <c r="B570" s="6" t="str">
        <f>"72072024112412555157352"</f>
        <v>72072024112412555157352</v>
      </c>
      <c r="C570" s="6" t="str">
        <f t="shared" si="132"/>
        <v>0104</v>
      </c>
      <c r="D570" s="6" t="s">
        <v>12</v>
      </c>
      <c r="E570" s="6" t="s">
        <v>9</v>
      </c>
      <c r="F570" s="6" t="str">
        <f>"曾德銮"</f>
        <v>曾德銮</v>
      </c>
      <c r="G570" s="6" t="str">
        <f>"男"</f>
        <v>男</v>
      </c>
    </row>
    <row r="571" customHeight="1" spans="1:7">
      <c r="A571" s="6">
        <v>569</v>
      </c>
      <c r="B571" s="6" t="str">
        <f>"72072024112610560068479"</f>
        <v>72072024112610560068479</v>
      </c>
      <c r="C571" s="6" t="str">
        <f t="shared" si="132"/>
        <v>0104</v>
      </c>
      <c r="D571" s="6" t="s">
        <v>12</v>
      </c>
      <c r="E571" s="6" t="s">
        <v>9</v>
      </c>
      <c r="F571" s="6" t="str">
        <f>"林慧婕"</f>
        <v>林慧婕</v>
      </c>
      <c r="G571" s="6" t="str">
        <f t="shared" ref="G571:G574" si="138">"女"</f>
        <v>女</v>
      </c>
    </row>
    <row r="572" customHeight="1" spans="1:7">
      <c r="A572" s="6">
        <v>570</v>
      </c>
      <c r="B572" s="6" t="str">
        <f>"72072024112608471767659"</f>
        <v>72072024112608471767659</v>
      </c>
      <c r="C572" s="6" t="str">
        <f t="shared" si="132"/>
        <v>0104</v>
      </c>
      <c r="D572" s="6" t="s">
        <v>12</v>
      </c>
      <c r="E572" s="6" t="s">
        <v>9</v>
      </c>
      <c r="F572" s="6" t="str">
        <f>"蔡少芬"</f>
        <v>蔡少芬</v>
      </c>
      <c r="G572" s="6" t="str">
        <f t="shared" si="138"/>
        <v>女</v>
      </c>
    </row>
    <row r="573" customHeight="1" spans="1:7">
      <c r="A573" s="6">
        <v>571</v>
      </c>
      <c r="B573" s="6" t="str">
        <f>"72072024112521161266505"</f>
        <v>72072024112521161266505</v>
      </c>
      <c r="C573" s="6" t="str">
        <f t="shared" si="132"/>
        <v>0104</v>
      </c>
      <c r="D573" s="6" t="s">
        <v>12</v>
      </c>
      <c r="E573" s="6" t="s">
        <v>9</v>
      </c>
      <c r="F573" s="6" t="str">
        <f>"符晓"</f>
        <v>符晓</v>
      </c>
      <c r="G573" s="6" t="str">
        <f t="shared" si="138"/>
        <v>女</v>
      </c>
    </row>
    <row r="574" customHeight="1" spans="1:7">
      <c r="A574" s="6">
        <v>572</v>
      </c>
      <c r="B574" s="6" t="str">
        <f>"72072024112609540268075"</f>
        <v>72072024112609540268075</v>
      </c>
      <c r="C574" s="6" t="str">
        <f t="shared" si="132"/>
        <v>0104</v>
      </c>
      <c r="D574" s="6" t="s">
        <v>12</v>
      </c>
      <c r="E574" s="6" t="s">
        <v>9</v>
      </c>
      <c r="F574" s="6" t="str">
        <f>"邓伟"</f>
        <v>邓伟</v>
      </c>
      <c r="G574" s="6" t="str">
        <f t="shared" si="138"/>
        <v>女</v>
      </c>
    </row>
    <row r="575" customHeight="1" spans="1:7">
      <c r="A575" s="6">
        <v>573</v>
      </c>
      <c r="B575" s="6" t="str">
        <f>"72072024112612395768932"</f>
        <v>72072024112612395768932</v>
      </c>
      <c r="C575" s="6" t="str">
        <f t="shared" si="132"/>
        <v>0104</v>
      </c>
      <c r="D575" s="6" t="s">
        <v>12</v>
      </c>
      <c r="E575" s="6" t="s">
        <v>9</v>
      </c>
      <c r="F575" s="6" t="str">
        <f>"郑宾"</f>
        <v>郑宾</v>
      </c>
      <c r="G575" s="6" t="str">
        <f>"男"</f>
        <v>男</v>
      </c>
    </row>
    <row r="576" customHeight="1" spans="1:7">
      <c r="A576" s="6">
        <v>574</v>
      </c>
      <c r="B576" s="6" t="str">
        <f>"72072024112515353764405"</f>
        <v>72072024112515353764405</v>
      </c>
      <c r="C576" s="6" t="str">
        <f t="shared" si="132"/>
        <v>0104</v>
      </c>
      <c r="D576" s="6" t="s">
        <v>12</v>
      </c>
      <c r="E576" s="6" t="s">
        <v>9</v>
      </c>
      <c r="F576" s="6" t="str">
        <f>"苏妍"</f>
        <v>苏妍</v>
      </c>
      <c r="G576" s="6" t="str">
        <f t="shared" ref="G576:G581" si="139">"女"</f>
        <v>女</v>
      </c>
    </row>
    <row r="577" customHeight="1" spans="1:7">
      <c r="A577" s="6">
        <v>575</v>
      </c>
      <c r="B577" s="6" t="str">
        <f>"72072024112216362953686"</f>
        <v>72072024112216362953686</v>
      </c>
      <c r="C577" s="6" t="str">
        <f t="shared" si="132"/>
        <v>0104</v>
      </c>
      <c r="D577" s="6" t="s">
        <v>12</v>
      </c>
      <c r="E577" s="6" t="s">
        <v>9</v>
      </c>
      <c r="F577" s="6" t="str">
        <f>"黄小红"</f>
        <v>黄小红</v>
      </c>
      <c r="G577" s="6" t="str">
        <f t="shared" si="139"/>
        <v>女</v>
      </c>
    </row>
    <row r="578" customHeight="1" spans="1:7">
      <c r="A578" s="6">
        <v>576</v>
      </c>
      <c r="B578" s="6" t="str">
        <f>"72072024112613390869150"</f>
        <v>72072024112613390869150</v>
      </c>
      <c r="C578" s="6" t="str">
        <f t="shared" si="132"/>
        <v>0104</v>
      </c>
      <c r="D578" s="6" t="s">
        <v>12</v>
      </c>
      <c r="E578" s="6" t="s">
        <v>9</v>
      </c>
      <c r="F578" s="6" t="str">
        <f>"李开明"</f>
        <v>李开明</v>
      </c>
      <c r="G578" s="6" t="str">
        <f>"男"</f>
        <v>男</v>
      </c>
    </row>
    <row r="579" customHeight="1" spans="1:7">
      <c r="A579" s="6">
        <v>577</v>
      </c>
      <c r="B579" s="6" t="str">
        <f>"72072024112614451269420"</f>
        <v>72072024112614451269420</v>
      </c>
      <c r="C579" s="6" t="str">
        <f t="shared" si="132"/>
        <v>0104</v>
      </c>
      <c r="D579" s="6" t="s">
        <v>12</v>
      </c>
      <c r="E579" s="6" t="s">
        <v>9</v>
      </c>
      <c r="F579" s="6" t="str">
        <f>"董立媛"</f>
        <v>董立媛</v>
      </c>
      <c r="G579" s="6" t="str">
        <f t="shared" si="139"/>
        <v>女</v>
      </c>
    </row>
    <row r="580" customHeight="1" spans="1:7">
      <c r="A580" s="6">
        <v>578</v>
      </c>
      <c r="B580" s="6" t="str">
        <f>"72072024112615215569629"</f>
        <v>72072024112615215569629</v>
      </c>
      <c r="C580" s="6" t="str">
        <f t="shared" si="132"/>
        <v>0104</v>
      </c>
      <c r="D580" s="6" t="s">
        <v>12</v>
      </c>
      <c r="E580" s="6" t="s">
        <v>9</v>
      </c>
      <c r="F580" s="6" t="str">
        <f>"苏晓晓"</f>
        <v>苏晓晓</v>
      </c>
      <c r="G580" s="6" t="str">
        <f t="shared" si="139"/>
        <v>女</v>
      </c>
    </row>
    <row r="581" customHeight="1" spans="1:7">
      <c r="A581" s="6">
        <v>579</v>
      </c>
      <c r="B581" s="6" t="str">
        <f>"72072024112615254669643"</f>
        <v>72072024112615254669643</v>
      </c>
      <c r="C581" s="6" t="str">
        <f t="shared" si="132"/>
        <v>0104</v>
      </c>
      <c r="D581" s="6" t="s">
        <v>12</v>
      </c>
      <c r="E581" s="6" t="s">
        <v>9</v>
      </c>
      <c r="F581" s="6" t="str">
        <f>"华海平"</f>
        <v>华海平</v>
      </c>
      <c r="G581" s="6" t="str">
        <f t="shared" si="139"/>
        <v>女</v>
      </c>
    </row>
    <row r="582" customHeight="1" spans="1:7">
      <c r="A582" s="6">
        <v>580</v>
      </c>
      <c r="B582" s="6" t="str">
        <f>"72072024112615514669776"</f>
        <v>72072024112615514669776</v>
      </c>
      <c r="C582" s="6" t="str">
        <f t="shared" si="132"/>
        <v>0104</v>
      </c>
      <c r="D582" s="6" t="s">
        <v>12</v>
      </c>
      <c r="E582" s="6" t="s">
        <v>9</v>
      </c>
      <c r="F582" s="6" t="str">
        <f>"罗雷"</f>
        <v>罗雷</v>
      </c>
      <c r="G582" s="6" t="str">
        <f t="shared" ref="G582:G585" si="140">"男"</f>
        <v>男</v>
      </c>
    </row>
    <row r="583" customHeight="1" spans="1:7">
      <c r="A583" s="6">
        <v>581</v>
      </c>
      <c r="B583" s="6" t="str">
        <f>"72072024112514281363548"</f>
        <v>72072024112514281363548</v>
      </c>
      <c r="C583" s="6" t="str">
        <f t="shared" si="132"/>
        <v>0104</v>
      </c>
      <c r="D583" s="6" t="s">
        <v>12</v>
      </c>
      <c r="E583" s="6" t="s">
        <v>9</v>
      </c>
      <c r="F583" s="6" t="str">
        <f>"麦雪儿"</f>
        <v>麦雪儿</v>
      </c>
      <c r="G583" s="6" t="str">
        <f>"女"</f>
        <v>女</v>
      </c>
    </row>
    <row r="584" customHeight="1" spans="1:7">
      <c r="A584" s="6">
        <v>582</v>
      </c>
      <c r="B584" s="6" t="str">
        <f>"72072024112610251468272"</f>
        <v>72072024112610251468272</v>
      </c>
      <c r="C584" s="6" t="str">
        <f t="shared" si="132"/>
        <v>0104</v>
      </c>
      <c r="D584" s="6" t="s">
        <v>12</v>
      </c>
      <c r="E584" s="6" t="s">
        <v>9</v>
      </c>
      <c r="F584" s="6" t="str">
        <f>"李廷安"</f>
        <v>李廷安</v>
      </c>
      <c r="G584" s="6" t="str">
        <f t="shared" si="140"/>
        <v>男</v>
      </c>
    </row>
    <row r="585" customHeight="1" spans="1:7">
      <c r="A585" s="6">
        <v>583</v>
      </c>
      <c r="B585" s="6" t="str">
        <f>"72072024112615534669788"</f>
        <v>72072024112615534669788</v>
      </c>
      <c r="C585" s="6" t="str">
        <f t="shared" si="132"/>
        <v>0104</v>
      </c>
      <c r="D585" s="6" t="s">
        <v>12</v>
      </c>
      <c r="E585" s="6" t="s">
        <v>9</v>
      </c>
      <c r="F585" s="6" t="str">
        <f>"王金林"</f>
        <v>王金林</v>
      </c>
      <c r="G585" s="6" t="str">
        <f t="shared" si="140"/>
        <v>男</v>
      </c>
    </row>
    <row r="586" customHeight="1" spans="1:7">
      <c r="A586" s="6">
        <v>584</v>
      </c>
      <c r="B586" s="6" t="str">
        <f>"72072024112615151269583"</f>
        <v>72072024112615151269583</v>
      </c>
      <c r="C586" s="6" t="str">
        <f t="shared" si="132"/>
        <v>0104</v>
      </c>
      <c r="D586" s="6" t="s">
        <v>12</v>
      </c>
      <c r="E586" s="6" t="s">
        <v>9</v>
      </c>
      <c r="F586" s="6" t="str">
        <f>"林多盈"</f>
        <v>林多盈</v>
      </c>
      <c r="G586" s="6" t="str">
        <f t="shared" ref="G586:G595" si="141">"女"</f>
        <v>女</v>
      </c>
    </row>
    <row r="587" customHeight="1" spans="1:7">
      <c r="A587" s="6">
        <v>585</v>
      </c>
      <c r="B587" s="6" t="str">
        <f>"72072024112612372068923"</f>
        <v>72072024112612372068923</v>
      </c>
      <c r="C587" s="6" t="str">
        <f t="shared" si="132"/>
        <v>0104</v>
      </c>
      <c r="D587" s="6" t="s">
        <v>12</v>
      </c>
      <c r="E587" s="6" t="s">
        <v>9</v>
      </c>
      <c r="F587" s="6" t="str">
        <f>"王浚宇"</f>
        <v>王浚宇</v>
      </c>
      <c r="G587" s="6" t="str">
        <f>"男"</f>
        <v>男</v>
      </c>
    </row>
    <row r="588" customHeight="1" spans="1:7">
      <c r="A588" s="6">
        <v>586</v>
      </c>
      <c r="B588" s="6" t="str">
        <f>"72072024112618061070344"</f>
        <v>72072024112618061070344</v>
      </c>
      <c r="C588" s="6" t="str">
        <f t="shared" si="132"/>
        <v>0104</v>
      </c>
      <c r="D588" s="6" t="s">
        <v>12</v>
      </c>
      <c r="E588" s="6" t="s">
        <v>9</v>
      </c>
      <c r="F588" s="6" t="str">
        <f>"何发亮"</f>
        <v>何发亮</v>
      </c>
      <c r="G588" s="6" t="str">
        <f>"男"</f>
        <v>男</v>
      </c>
    </row>
    <row r="589" customHeight="1" spans="1:7">
      <c r="A589" s="6">
        <v>587</v>
      </c>
      <c r="B589" s="6" t="str">
        <f>"72072024112517084865323"</f>
        <v>72072024112517084865323</v>
      </c>
      <c r="C589" s="6" t="str">
        <f t="shared" si="132"/>
        <v>0104</v>
      </c>
      <c r="D589" s="6" t="s">
        <v>12</v>
      </c>
      <c r="E589" s="6" t="s">
        <v>9</v>
      </c>
      <c r="F589" s="6" t="str">
        <f>"董舒仙"</f>
        <v>董舒仙</v>
      </c>
      <c r="G589" s="6" t="str">
        <f t="shared" si="141"/>
        <v>女</v>
      </c>
    </row>
    <row r="590" customHeight="1" spans="1:7">
      <c r="A590" s="6">
        <v>588</v>
      </c>
      <c r="B590" s="6" t="str">
        <f>"72072024112616101969871"</f>
        <v>72072024112616101969871</v>
      </c>
      <c r="C590" s="6" t="str">
        <f t="shared" si="132"/>
        <v>0104</v>
      </c>
      <c r="D590" s="6" t="s">
        <v>12</v>
      </c>
      <c r="E590" s="6" t="s">
        <v>9</v>
      </c>
      <c r="F590" s="6" t="str">
        <f>"苏丽云"</f>
        <v>苏丽云</v>
      </c>
      <c r="G590" s="6" t="str">
        <f t="shared" si="141"/>
        <v>女</v>
      </c>
    </row>
    <row r="591" customHeight="1" spans="1:7">
      <c r="A591" s="6">
        <v>589</v>
      </c>
      <c r="B591" s="6" t="str">
        <f>"72072024112513144962898"</f>
        <v>72072024112513144962898</v>
      </c>
      <c r="C591" s="6" t="str">
        <f t="shared" si="132"/>
        <v>0104</v>
      </c>
      <c r="D591" s="6" t="s">
        <v>12</v>
      </c>
      <c r="E591" s="6" t="s">
        <v>9</v>
      </c>
      <c r="F591" s="6" t="str">
        <f>"江小娟"</f>
        <v>江小娟</v>
      </c>
      <c r="G591" s="6" t="str">
        <f t="shared" si="141"/>
        <v>女</v>
      </c>
    </row>
    <row r="592" customHeight="1" spans="1:7">
      <c r="A592" s="6">
        <v>590</v>
      </c>
      <c r="B592" s="6" t="str">
        <f>"72072024112618000570323"</f>
        <v>72072024112618000570323</v>
      </c>
      <c r="C592" s="6" t="str">
        <f t="shared" si="132"/>
        <v>0104</v>
      </c>
      <c r="D592" s="6" t="s">
        <v>12</v>
      </c>
      <c r="E592" s="6" t="s">
        <v>9</v>
      </c>
      <c r="F592" s="6" t="str">
        <f>"黄杰玉"</f>
        <v>黄杰玉</v>
      </c>
      <c r="G592" s="6" t="str">
        <f t="shared" si="141"/>
        <v>女</v>
      </c>
    </row>
    <row r="593" customHeight="1" spans="1:7">
      <c r="A593" s="6">
        <v>591</v>
      </c>
      <c r="B593" s="6" t="str">
        <f>"72072024112513232162982"</f>
        <v>72072024112513232162982</v>
      </c>
      <c r="C593" s="6" t="str">
        <f t="shared" si="132"/>
        <v>0104</v>
      </c>
      <c r="D593" s="6" t="s">
        <v>12</v>
      </c>
      <c r="E593" s="6" t="s">
        <v>9</v>
      </c>
      <c r="F593" s="6" t="str">
        <f>"韦丽姐"</f>
        <v>韦丽姐</v>
      </c>
      <c r="G593" s="6" t="str">
        <f t="shared" si="141"/>
        <v>女</v>
      </c>
    </row>
    <row r="594" customHeight="1" spans="1:7">
      <c r="A594" s="6">
        <v>592</v>
      </c>
      <c r="B594" s="6" t="str">
        <f>"72072024112620270570801"</f>
        <v>72072024112620270570801</v>
      </c>
      <c r="C594" s="6" t="str">
        <f t="shared" si="132"/>
        <v>0104</v>
      </c>
      <c r="D594" s="6" t="s">
        <v>12</v>
      </c>
      <c r="E594" s="6" t="s">
        <v>9</v>
      </c>
      <c r="F594" s="6" t="str">
        <f>"陈宗姣"</f>
        <v>陈宗姣</v>
      </c>
      <c r="G594" s="6" t="str">
        <f t="shared" si="141"/>
        <v>女</v>
      </c>
    </row>
    <row r="595" customHeight="1" spans="1:7">
      <c r="A595" s="6">
        <v>593</v>
      </c>
      <c r="B595" s="6" t="str">
        <f>"72072024112620235970788"</f>
        <v>72072024112620235970788</v>
      </c>
      <c r="C595" s="6" t="str">
        <f t="shared" si="132"/>
        <v>0104</v>
      </c>
      <c r="D595" s="6" t="s">
        <v>12</v>
      </c>
      <c r="E595" s="6" t="s">
        <v>9</v>
      </c>
      <c r="F595" s="6" t="str">
        <f>"张春兰"</f>
        <v>张春兰</v>
      </c>
      <c r="G595" s="6" t="str">
        <f t="shared" si="141"/>
        <v>女</v>
      </c>
    </row>
    <row r="596" customHeight="1" spans="1:7">
      <c r="A596" s="6">
        <v>594</v>
      </c>
      <c r="B596" s="6" t="str">
        <f>"72072024112400330656677"</f>
        <v>72072024112400330656677</v>
      </c>
      <c r="C596" s="6" t="str">
        <f t="shared" si="132"/>
        <v>0104</v>
      </c>
      <c r="D596" s="6" t="s">
        <v>12</v>
      </c>
      <c r="E596" s="6" t="s">
        <v>9</v>
      </c>
      <c r="F596" s="6" t="str">
        <f>"胡天长"</f>
        <v>胡天长</v>
      </c>
      <c r="G596" s="6" t="str">
        <f t="shared" ref="G596:G604" si="142">"男"</f>
        <v>男</v>
      </c>
    </row>
    <row r="597" customHeight="1" spans="1:7">
      <c r="A597" s="6">
        <v>595</v>
      </c>
      <c r="B597" s="6" t="str">
        <f>"72072024112620261270798"</f>
        <v>72072024112620261270798</v>
      </c>
      <c r="C597" s="6" t="str">
        <f t="shared" si="132"/>
        <v>0104</v>
      </c>
      <c r="D597" s="6" t="s">
        <v>12</v>
      </c>
      <c r="E597" s="6" t="s">
        <v>9</v>
      </c>
      <c r="F597" s="6" t="str">
        <f>"李雪丹"</f>
        <v>李雪丹</v>
      </c>
      <c r="G597" s="6" t="str">
        <f t="shared" ref="G597:G600" si="143">"女"</f>
        <v>女</v>
      </c>
    </row>
    <row r="598" customHeight="1" spans="1:7">
      <c r="A598" s="6">
        <v>596</v>
      </c>
      <c r="B598" s="6" t="str">
        <f>"72072024112321273556415"</f>
        <v>72072024112321273556415</v>
      </c>
      <c r="C598" s="6" t="str">
        <f t="shared" si="132"/>
        <v>0104</v>
      </c>
      <c r="D598" s="6" t="s">
        <v>12</v>
      </c>
      <c r="E598" s="6" t="s">
        <v>9</v>
      </c>
      <c r="F598" s="6" t="str">
        <f>"陈贤煌"</f>
        <v>陈贤煌</v>
      </c>
      <c r="G598" s="6" t="str">
        <f t="shared" si="142"/>
        <v>男</v>
      </c>
    </row>
    <row r="599" customHeight="1" spans="1:7">
      <c r="A599" s="6">
        <v>597</v>
      </c>
      <c r="B599" s="6" t="str">
        <f>"72072024112512353862553"</f>
        <v>72072024112512353862553</v>
      </c>
      <c r="C599" s="6" t="str">
        <f t="shared" si="132"/>
        <v>0104</v>
      </c>
      <c r="D599" s="6" t="s">
        <v>12</v>
      </c>
      <c r="E599" s="6" t="s">
        <v>9</v>
      </c>
      <c r="F599" s="6" t="str">
        <f>"罗月美"</f>
        <v>罗月美</v>
      </c>
      <c r="G599" s="6" t="str">
        <f t="shared" si="143"/>
        <v>女</v>
      </c>
    </row>
    <row r="600" customHeight="1" spans="1:7">
      <c r="A600" s="6">
        <v>598</v>
      </c>
      <c r="B600" s="6" t="str">
        <f>"72072024112618344970419"</f>
        <v>72072024112618344970419</v>
      </c>
      <c r="C600" s="6" t="str">
        <f t="shared" si="132"/>
        <v>0104</v>
      </c>
      <c r="D600" s="6" t="s">
        <v>12</v>
      </c>
      <c r="E600" s="6" t="s">
        <v>9</v>
      </c>
      <c r="F600" s="6" t="str">
        <f>"严焕琴"</f>
        <v>严焕琴</v>
      </c>
      <c r="G600" s="6" t="str">
        <f t="shared" si="143"/>
        <v>女</v>
      </c>
    </row>
    <row r="601" customHeight="1" spans="1:7">
      <c r="A601" s="6">
        <v>599</v>
      </c>
      <c r="B601" s="6" t="str">
        <f>"72072024112512560762736"</f>
        <v>72072024112512560762736</v>
      </c>
      <c r="C601" s="6" t="str">
        <f t="shared" si="132"/>
        <v>0104</v>
      </c>
      <c r="D601" s="6" t="s">
        <v>12</v>
      </c>
      <c r="E601" s="6" t="s">
        <v>9</v>
      </c>
      <c r="F601" s="6" t="str">
        <f>"卢有峰"</f>
        <v>卢有峰</v>
      </c>
      <c r="G601" s="6" t="str">
        <f t="shared" si="142"/>
        <v>男</v>
      </c>
    </row>
    <row r="602" customHeight="1" spans="1:7">
      <c r="A602" s="6">
        <v>600</v>
      </c>
      <c r="B602" s="6" t="str">
        <f>"72072024112413215157409"</f>
        <v>72072024112413215157409</v>
      </c>
      <c r="C602" s="6" t="str">
        <f t="shared" si="132"/>
        <v>0104</v>
      </c>
      <c r="D602" s="6" t="s">
        <v>12</v>
      </c>
      <c r="E602" s="6" t="s">
        <v>9</v>
      </c>
      <c r="F602" s="6" t="str">
        <f>"胡俊贤"</f>
        <v>胡俊贤</v>
      </c>
      <c r="G602" s="6" t="str">
        <f t="shared" si="142"/>
        <v>男</v>
      </c>
    </row>
    <row r="603" customHeight="1" spans="1:7">
      <c r="A603" s="6">
        <v>601</v>
      </c>
      <c r="B603" s="6" t="str">
        <f>"72072024112513180262934"</f>
        <v>72072024112513180262934</v>
      </c>
      <c r="C603" s="6" t="str">
        <f t="shared" si="132"/>
        <v>0104</v>
      </c>
      <c r="D603" s="6" t="s">
        <v>12</v>
      </c>
      <c r="E603" s="6" t="s">
        <v>9</v>
      </c>
      <c r="F603" s="6" t="str">
        <f>"胡融和"</f>
        <v>胡融和</v>
      </c>
      <c r="G603" s="6" t="str">
        <f t="shared" si="142"/>
        <v>男</v>
      </c>
    </row>
    <row r="604" customHeight="1" spans="1:7">
      <c r="A604" s="6">
        <v>602</v>
      </c>
      <c r="B604" s="6" t="str">
        <f>"72072024112522205366774"</f>
        <v>72072024112522205366774</v>
      </c>
      <c r="C604" s="6" t="str">
        <f t="shared" si="132"/>
        <v>0104</v>
      </c>
      <c r="D604" s="6" t="s">
        <v>12</v>
      </c>
      <c r="E604" s="6" t="s">
        <v>9</v>
      </c>
      <c r="F604" s="6" t="str">
        <f>"朱昌业"</f>
        <v>朱昌业</v>
      </c>
      <c r="G604" s="6" t="str">
        <f t="shared" si="142"/>
        <v>男</v>
      </c>
    </row>
    <row r="605" customHeight="1" spans="1:7">
      <c r="A605" s="6">
        <v>603</v>
      </c>
      <c r="B605" s="6" t="str">
        <f>"72072024112423032159131"</f>
        <v>72072024112423032159131</v>
      </c>
      <c r="C605" s="6" t="str">
        <f t="shared" si="132"/>
        <v>0104</v>
      </c>
      <c r="D605" s="6" t="s">
        <v>12</v>
      </c>
      <c r="E605" s="6" t="s">
        <v>9</v>
      </c>
      <c r="F605" s="6" t="str">
        <f>"路颖洁"</f>
        <v>路颖洁</v>
      </c>
      <c r="G605" s="6" t="str">
        <f t="shared" ref="G605:G609" si="144">"女"</f>
        <v>女</v>
      </c>
    </row>
    <row r="606" customHeight="1" spans="1:7">
      <c r="A606" s="6">
        <v>604</v>
      </c>
      <c r="B606" s="6" t="str">
        <f>"72072024112616011069821"</f>
        <v>72072024112616011069821</v>
      </c>
      <c r="C606" s="6" t="str">
        <f t="shared" si="132"/>
        <v>0104</v>
      </c>
      <c r="D606" s="6" t="s">
        <v>12</v>
      </c>
      <c r="E606" s="6" t="s">
        <v>9</v>
      </c>
      <c r="F606" s="6" t="str">
        <f>"王凌峰"</f>
        <v>王凌峰</v>
      </c>
      <c r="G606" s="6" t="str">
        <f t="shared" ref="G606:G610" si="145">"男"</f>
        <v>男</v>
      </c>
    </row>
    <row r="607" customHeight="1" spans="1:7">
      <c r="A607" s="6">
        <v>605</v>
      </c>
      <c r="B607" s="6" t="str">
        <f>"72072024112221583754506"</f>
        <v>72072024112221583754506</v>
      </c>
      <c r="C607" s="6" t="str">
        <f t="shared" ref="C607:C670" si="146">"0104"</f>
        <v>0104</v>
      </c>
      <c r="D607" s="6" t="s">
        <v>12</v>
      </c>
      <c r="E607" s="6" t="s">
        <v>9</v>
      </c>
      <c r="F607" s="6" t="str">
        <f>"符焕"</f>
        <v>符焕</v>
      </c>
      <c r="G607" s="6" t="str">
        <f t="shared" si="145"/>
        <v>男</v>
      </c>
    </row>
    <row r="608" customHeight="1" spans="1:7">
      <c r="A608" s="6">
        <v>606</v>
      </c>
      <c r="B608" s="6" t="str">
        <f>"72072024112710184372120"</f>
        <v>72072024112710184372120</v>
      </c>
      <c r="C608" s="6" t="str">
        <f t="shared" si="146"/>
        <v>0104</v>
      </c>
      <c r="D608" s="6" t="s">
        <v>12</v>
      </c>
      <c r="E608" s="6" t="s">
        <v>9</v>
      </c>
      <c r="F608" s="6" t="str">
        <f>"林琼凤"</f>
        <v>林琼凤</v>
      </c>
      <c r="G608" s="6" t="str">
        <f t="shared" si="144"/>
        <v>女</v>
      </c>
    </row>
    <row r="609" customHeight="1" spans="1:7">
      <c r="A609" s="6">
        <v>607</v>
      </c>
      <c r="B609" s="6" t="str">
        <f>"72072024112710422672256"</f>
        <v>72072024112710422672256</v>
      </c>
      <c r="C609" s="6" t="str">
        <f t="shared" si="146"/>
        <v>0104</v>
      </c>
      <c r="D609" s="6" t="s">
        <v>12</v>
      </c>
      <c r="E609" s="6" t="s">
        <v>9</v>
      </c>
      <c r="F609" s="6" t="str">
        <f>"王琼"</f>
        <v>王琼</v>
      </c>
      <c r="G609" s="6" t="str">
        <f t="shared" si="144"/>
        <v>女</v>
      </c>
    </row>
    <row r="610" customHeight="1" spans="1:7">
      <c r="A610" s="6">
        <v>608</v>
      </c>
      <c r="B610" s="6" t="str">
        <f>"72072024112320154356274"</f>
        <v>72072024112320154356274</v>
      </c>
      <c r="C610" s="6" t="str">
        <f t="shared" si="146"/>
        <v>0104</v>
      </c>
      <c r="D610" s="6" t="s">
        <v>12</v>
      </c>
      <c r="E610" s="6" t="s">
        <v>9</v>
      </c>
      <c r="F610" s="6" t="str">
        <f>"陈日东"</f>
        <v>陈日东</v>
      </c>
      <c r="G610" s="6" t="str">
        <f t="shared" si="145"/>
        <v>男</v>
      </c>
    </row>
    <row r="611" customHeight="1" spans="1:7">
      <c r="A611" s="6">
        <v>609</v>
      </c>
      <c r="B611" s="6" t="str">
        <f>"72072024112712165972675"</f>
        <v>72072024112712165972675</v>
      </c>
      <c r="C611" s="6" t="str">
        <f t="shared" si="146"/>
        <v>0104</v>
      </c>
      <c r="D611" s="6" t="s">
        <v>12</v>
      </c>
      <c r="E611" s="6" t="s">
        <v>9</v>
      </c>
      <c r="F611" s="6" t="str">
        <f>"郑美珍"</f>
        <v>郑美珍</v>
      </c>
      <c r="G611" s="6" t="str">
        <f t="shared" ref="G611:G617" si="147">"女"</f>
        <v>女</v>
      </c>
    </row>
    <row r="612" customHeight="1" spans="1:7">
      <c r="A612" s="6">
        <v>610</v>
      </c>
      <c r="B612" s="6" t="str">
        <f>"72072024112211041952745"</f>
        <v>72072024112211041952745</v>
      </c>
      <c r="C612" s="6" t="str">
        <f t="shared" si="146"/>
        <v>0104</v>
      </c>
      <c r="D612" s="6" t="s">
        <v>12</v>
      </c>
      <c r="E612" s="6" t="s">
        <v>9</v>
      </c>
      <c r="F612" s="6" t="str">
        <f>"廖熙金"</f>
        <v>廖熙金</v>
      </c>
      <c r="G612" s="6" t="str">
        <f t="shared" si="147"/>
        <v>女</v>
      </c>
    </row>
    <row r="613" customHeight="1" spans="1:7">
      <c r="A613" s="6">
        <v>611</v>
      </c>
      <c r="B613" s="6" t="str">
        <f>"72072024112713093072844"</f>
        <v>72072024112713093072844</v>
      </c>
      <c r="C613" s="6" t="str">
        <f t="shared" si="146"/>
        <v>0104</v>
      </c>
      <c r="D613" s="6" t="s">
        <v>12</v>
      </c>
      <c r="E613" s="6" t="s">
        <v>9</v>
      </c>
      <c r="F613" s="6" t="str">
        <f>"符瑞诚"</f>
        <v>符瑞诚</v>
      </c>
      <c r="G613" s="6" t="str">
        <f t="shared" ref="G613:G618" si="148">"男"</f>
        <v>男</v>
      </c>
    </row>
    <row r="614" customHeight="1" spans="1:7">
      <c r="A614" s="6">
        <v>612</v>
      </c>
      <c r="B614" s="6" t="str">
        <f>"72072024112620475770877"</f>
        <v>72072024112620475770877</v>
      </c>
      <c r="C614" s="6" t="str">
        <f t="shared" si="146"/>
        <v>0104</v>
      </c>
      <c r="D614" s="6" t="s">
        <v>12</v>
      </c>
      <c r="E614" s="6" t="s">
        <v>9</v>
      </c>
      <c r="F614" s="6" t="str">
        <f>"周剑霄"</f>
        <v>周剑霄</v>
      </c>
      <c r="G614" s="6" t="str">
        <f t="shared" si="148"/>
        <v>男</v>
      </c>
    </row>
    <row r="615" customHeight="1" spans="1:7">
      <c r="A615" s="6">
        <v>613</v>
      </c>
      <c r="B615" s="6" t="str">
        <f>"72072024112616462070054"</f>
        <v>72072024112616462070054</v>
      </c>
      <c r="C615" s="6" t="str">
        <f t="shared" si="146"/>
        <v>0104</v>
      </c>
      <c r="D615" s="6" t="s">
        <v>12</v>
      </c>
      <c r="E615" s="6" t="s">
        <v>9</v>
      </c>
      <c r="F615" s="6" t="str">
        <f>"窦小雨"</f>
        <v>窦小雨</v>
      </c>
      <c r="G615" s="6" t="str">
        <f t="shared" si="147"/>
        <v>女</v>
      </c>
    </row>
    <row r="616" customHeight="1" spans="1:7">
      <c r="A616" s="6">
        <v>614</v>
      </c>
      <c r="B616" s="6" t="str">
        <f>"72072024112711420972565"</f>
        <v>72072024112711420972565</v>
      </c>
      <c r="C616" s="6" t="str">
        <f t="shared" si="146"/>
        <v>0104</v>
      </c>
      <c r="D616" s="6" t="s">
        <v>12</v>
      </c>
      <c r="E616" s="6" t="s">
        <v>9</v>
      </c>
      <c r="F616" s="6" t="str">
        <f>"陈初珍"</f>
        <v>陈初珍</v>
      </c>
      <c r="G616" s="6" t="str">
        <f t="shared" si="147"/>
        <v>女</v>
      </c>
    </row>
    <row r="617" customHeight="1" spans="1:7">
      <c r="A617" s="6">
        <v>615</v>
      </c>
      <c r="B617" s="6" t="str">
        <f>"72072024112711270672497"</f>
        <v>72072024112711270672497</v>
      </c>
      <c r="C617" s="6" t="str">
        <f t="shared" si="146"/>
        <v>0104</v>
      </c>
      <c r="D617" s="6" t="s">
        <v>12</v>
      </c>
      <c r="E617" s="6" t="s">
        <v>9</v>
      </c>
      <c r="F617" s="6" t="str">
        <f>"史美茹"</f>
        <v>史美茹</v>
      </c>
      <c r="G617" s="6" t="str">
        <f t="shared" si="147"/>
        <v>女</v>
      </c>
    </row>
    <row r="618" customHeight="1" spans="1:7">
      <c r="A618" s="6">
        <v>616</v>
      </c>
      <c r="B618" s="6" t="str">
        <f>"72072024112709234871744"</f>
        <v>72072024112709234871744</v>
      </c>
      <c r="C618" s="6" t="str">
        <f t="shared" si="146"/>
        <v>0104</v>
      </c>
      <c r="D618" s="6" t="s">
        <v>12</v>
      </c>
      <c r="E618" s="6" t="s">
        <v>9</v>
      </c>
      <c r="F618" s="6" t="str">
        <f>"李聪"</f>
        <v>李聪</v>
      </c>
      <c r="G618" s="6" t="str">
        <f t="shared" si="148"/>
        <v>男</v>
      </c>
    </row>
    <row r="619" customHeight="1" spans="1:7">
      <c r="A619" s="6">
        <v>617</v>
      </c>
      <c r="B619" s="6" t="str">
        <f>"72072024112710480972291"</f>
        <v>72072024112710480972291</v>
      </c>
      <c r="C619" s="6" t="str">
        <f t="shared" si="146"/>
        <v>0104</v>
      </c>
      <c r="D619" s="6" t="s">
        <v>12</v>
      </c>
      <c r="E619" s="6" t="s">
        <v>9</v>
      </c>
      <c r="F619" s="6" t="str">
        <f>"陆茜"</f>
        <v>陆茜</v>
      </c>
      <c r="G619" s="6" t="str">
        <f t="shared" ref="G619:G622" si="149">"女"</f>
        <v>女</v>
      </c>
    </row>
    <row r="620" customHeight="1" spans="1:7">
      <c r="A620" s="6">
        <v>618</v>
      </c>
      <c r="B620" s="6" t="str">
        <f>"72072024112715340973451"</f>
        <v>72072024112715340973451</v>
      </c>
      <c r="C620" s="6" t="str">
        <f t="shared" si="146"/>
        <v>0104</v>
      </c>
      <c r="D620" s="6" t="s">
        <v>12</v>
      </c>
      <c r="E620" s="6" t="s">
        <v>9</v>
      </c>
      <c r="F620" s="6" t="str">
        <f>"陈炫廷"</f>
        <v>陈炫廷</v>
      </c>
      <c r="G620" s="6" t="str">
        <f t="shared" ref="G620:G624" si="150">"男"</f>
        <v>男</v>
      </c>
    </row>
    <row r="621" customHeight="1" spans="1:7">
      <c r="A621" s="6">
        <v>619</v>
      </c>
      <c r="B621" s="6" t="str">
        <f>"72072024112715294573426"</f>
        <v>72072024112715294573426</v>
      </c>
      <c r="C621" s="6" t="str">
        <f t="shared" si="146"/>
        <v>0104</v>
      </c>
      <c r="D621" s="6" t="s">
        <v>12</v>
      </c>
      <c r="E621" s="6" t="s">
        <v>9</v>
      </c>
      <c r="F621" s="6" t="str">
        <f>"董玉莹"</f>
        <v>董玉莹</v>
      </c>
      <c r="G621" s="6" t="str">
        <f t="shared" si="149"/>
        <v>女</v>
      </c>
    </row>
    <row r="622" customHeight="1" spans="1:7">
      <c r="A622" s="6">
        <v>620</v>
      </c>
      <c r="B622" s="6" t="str">
        <f>"72072024112608371967606"</f>
        <v>72072024112608371967606</v>
      </c>
      <c r="C622" s="6" t="str">
        <f t="shared" si="146"/>
        <v>0104</v>
      </c>
      <c r="D622" s="6" t="s">
        <v>12</v>
      </c>
      <c r="E622" s="6" t="s">
        <v>9</v>
      </c>
      <c r="F622" s="6" t="str">
        <f>"苏天香"</f>
        <v>苏天香</v>
      </c>
      <c r="G622" s="6" t="str">
        <f t="shared" si="149"/>
        <v>女</v>
      </c>
    </row>
    <row r="623" customHeight="1" spans="1:7">
      <c r="A623" s="6">
        <v>621</v>
      </c>
      <c r="B623" s="6" t="str">
        <f>"72072024112317093455927"</f>
        <v>72072024112317093455927</v>
      </c>
      <c r="C623" s="6" t="str">
        <f t="shared" si="146"/>
        <v>0104</v>
      </c>
      <c r="D623" s="6" t="s">
        <v>12</v>
      </c>
      <c r="E623" s="6" t="s">
        <v>9</v>
      </c>
      <c r="F623" s="6" t="str">
        <f>"孙文涛"</f>
        <v>孙文涛</v>
      </c>
      <c r="G623" s="6" t="str">
        <f t="shared" si="150"/>
        <v>男</v>
      </c>
    </row>
    <row r="624" customHeight="1" spans="1:7">
      <c r="A624" s="6">
        <v>622</v>
      </c>
      <c r="B624" s="6" t="str">
        <f>"72072024112617372270259"</f>
        <v>72072024112617372270259</v>
      </c>
      <c r="C624" s="6" t="str">
        <f t="shared" si="146"/>
        <v>0104</v>
      </c>
      <c r="D624" s="6" t="s">
        <v>12</v>
      </c>
      <c r="E624" s="6" t="s">
        <v>9</v>
      </c>
      <c r="F624" s="6" t="str">
        <f>"孙发清"</f>
        <v>孙发清</v>
      </c>
      <c r="G624" s="6" t="str">
        <f t="shared" si="150"/>
        <v>男</v>
      </c>
    </row>
    <row r="625" customHeight="1" spans="1:7">
      <c r="A625" s="6">
        <v>623</v>
      </c>
      <c r="B625" s="6" t="str">
        <f>"72072024112716160573677"</f>
        <v>72072024112716160573677</v>
      </c>
      <c r="C625" s="6" t="str">
        <f t="shared" si="146"/>
        <v>0104</v>
      </c>
      <c r="D625" s="6" t="s">
        <v>12</v>
      </c>
      <c r="E625" s="6" t="s">
        <v>9</v>
      </c>
      <c r="F625" s="6" t="str">
        <f>"胡巧言"</f>
        <v>胡巧言</v>
      </c>
      <c r="G625" s="6" t="str">
        <f t="shared" ref="G625:G637" si="151">"女"</f>
        <v>女</v>
      </c>
    </row>
    <row r="626" customHeight="1" spans="1:7">
      <c r="A626" s="6">
        <v>624</v>
      </c>
      <c r="B626" s="6" t="str">
        <f>"72072024112716161473679"</f>
        <v>72072024112716161473679</v>
      </c>
      <c r="C626" s="6" t="str">
        <f t="shared" si="146"/>
        <v>0104</v>
      </c>
      <c r="D626" s="6" t="s">
        <v>12</v>
      </c>
      <c r="E626" s="6" t="s">
        <v>9</v>
      </c>
      <c r="F626" s="6" t="str">
        <f>"曾繁杰"</f>
        <v>曾繁杰</v>
      </c>
      <c r="G626" s="6" t="str">
        <f>"男"</f>
        <v>男</v>
      </c>
    </row>
    <row r="627" customHeight="1" spans="1:7">
      <c r="A627" s="6">
        <v>625</v>
      </c>
      <c r="B627" s="6" t="str">
        <f>"72072024112614504169451"</f>
        <v>72072024112614504169451</v>
      </c>
      <c r="C627" s="6" t="str">
        <f t="shared" si="146"/>
        <v>0104</v>
      </c>
      <c r="D627" s="6" t="s">
        <v>12</v>
      </c>
      <c r="E627" s="6" t="s">
        <v>9</v>
      </c>
      <c r="F627" s="6" t="str">
        <f>"林永珍"</f>
        <v>林永珍</v>
      </c>
      <c r="G627" s="6" t="str">
        <f t="shared" si="151"/>
        <v>女</v>
      </c>
    </row>
    <row r="628" customHeight="1" spans="1:7">
      <c r="A628" s="6">
        <v>626</v>
      </c>
      <c r="B628" s="6" t="str">
        <f>"72072024112716183073697"</f>
        <v>72072024112716183073697</v>
      </c>
      <c r="C628" s="6" t="str">
        <f t="shared" si="146"/>
        <v>0104</v>
      </c>
      <c r="D628" s="6" t="s">
        <v>12</v>
      </c>
      <c r="E628" s="6" t="s">
        <v>9</v>
      </c>
      <c r="F628" s="6" t="str">
        <f>"陈丽娟"</f>
        <v>陈丽娟</v>
      </c>
      <c r="G628" s="6" t="str">
        <f t="shared" si="151"/>
        <v>女</v>
      </c>
    </row>
    <row r="629" customHeight="1" spans="1:7">
      <c r="A629" s="6">
        <v>627</v>
      </c>
      <c r="B629" s="6" t="str">
        <f>"72072024112510395661322"</f>
        <v>72072024112510395661322</v>
      </c>
      <c r="C629" s="6" t="str">
        <f t="shared" si="146"/>
        <v>0104</v>
      </c>
      <c r="D629" s="6" t="s">
        <v>12</v>
      </c>
      <c r="E629" s="6" t="s">
        <v>9</v>
      </c>
      <c r="F629" s="6" t="str">
        <f>"李子圆"</f>
        <v>李子圆</v>
      </c>
      <c r="G629" s="6" t="str">
        <f t="shared" si="151"/>
        <v>女</v>
      </c>
    </row>
    <row r="630" customHeight="1" spans="1:7">
      <c r="A630" s="6">
        <v>628</v>
      </c>
      <c r="B630" s="6" t="str">
        <f>"72072024112716562973869"</f>
        <v>72072024112716562973869</v>
      </c>
      <c r="C630" s="6" t="str">
        <f t="shared" si="146"/>
        <v>0104</v>
      </c>
      <c r="D630" s="6" t="s">
        <v>12</v>
      </c>
      <c r="E630" s="6" t="s">
        <v>9</v>
      </c>
      <c r="F630" s="6" t="str">
        <f>"陈兰花"</f>
        <v>陈兰花</v>
      </c>
      <c r="G630" s="6" t="str">
        <f t="shared" si="151"/>
        <v>女</v>
      </c>
    </row>
    <row r="631" customHeight="1" spans="1:7">
      <c r="A631" s="6">
        <v>629</v>
      </c>
      <c r="B631" s="6" t="str">
        <f>"72072024112717064873913"</f>
        <v>72072024112717064873913</v>
      </c>
      <c r="C631" s="6" t="str">
        <f t="shared" si="146"/>
        <v>0104</v>
      </c>
      <c r="D631" s="6" t="s">
        <v>12</v>
      </c>
      <c r="E631" s="6" t="s">
        <v>9</v>
      </c>
      <c r="F631" s="6" t="str">
        <f>"冯光玲"</f>
        <v>冯光玲</v>
      </c>
      <c r="G631" s="6" t="str">
        <f t="shared" si="151"/>
        <v>女</v>
      </c>
    </row>
    <row r="632" customHeight="1" spans="1:7">
      <c r="A632" s="6">
        <v>630</v>
      </c>
      <c r="B632" s="6" t="str">
        <f>"72072024112716470373823"</f>
        <v>72072024112716470373823</v>
      </c>
      <c r="C632" s="6" t="str">
        <f t="shared" si="146"/>
        <v>0104</v>
      </c>
      <c r="D632" s="6" t="s">
        <v>12</v>
      </c>
      <c r="E632" s="6" t="s">
        <v>9</v>
      </c>
      <c r="F632" s="6" t="str">
        <f>"李娜"</f>
        <v>李娜</v>
      </c>
      <c r="G632" s="6" t="str">
        <f t="shared" si="151"/>
        <v>女</v>
      </c>
    </row>
    <row r="633" customHeight="1" spans="1:7">
      <c r="A633" s="6">
        <v>631</v>
      </c>
      <c r="B633" s="6" t="str">
        <f>"72072024112710421972255"</f>
        <v>72072024112710421972255</v>
      </c>
      <c r="C633" s="6" t="str">
        <f t="shared" si="146"/>
        <v>0104</v>
      </c>
      <c r="D633" s="6" t="s">
        <v>12</v>
      </c>
      <c r="E633" s="6" t="s">
        <v>9</v>
      </c>
      <c r="F633" s="6" t="str">
        <f>"潘瑞兰"</f>
        <v>潘瑞兰</v>
      </c>
      <c r="G633" s="6" t="str">
        <f t="shared" si="151"/>
        <v>女</v>
      </c>
    </row>
    <row r="634" customHeight="1" spans="1:7">
      <c r="A634" s="6">
        <v>632</v>
      </c>
      <c r="B634" s="6" t="str">
        <f>"72072024112719255474378"</f>
        <v>72072024112719255474378</v>
      </c>
      <c r="C634" s="6" t="str">
        <f t="shared" si="146"/>
        <v>0104</v>
      </c>
      <c r="D634" s="6" t="s">
        <v>12</v>
      </c>
      <c r="E634" s="6" t="s">
        <v>9</v>
      </c>
      <c r="F634" s="6" t="str">
        <f>"陈晓凌"</f>
        <v>陈晓凌</v>
      </c>
      <c r="G634" s="6" t="str">
        <f t="shared" si="151"/>
        <v>女</v>
      </c>
    </row>
    <row r="635" customHeight="1" spans="1:7">
      <c r="A635" s="6">
        <v>633</v>
      </c>
      <c r="B635" s="6" t="str">
        <f>"72072024112721020374741"</f>
        <v>72072024112721020374741</v>
      </c>
      <c r="C635" s="6" t="str">
        <f t="shared" si="146"/>
        <v>0104</v>
      </c>
      <c r="D635" s="6" t="s">
        <v>12</v>
      </c>
      <c r="E635" s="6" t="s">
        <v>9</v>
      </c>
      <c r="F635" s="6" t="str">
        <f>"周悦"</f>
        <v>周悦</v>
      </c>
      <c r="G635" s="6" t="str">
        <f t="shared" si="151"/>
        <v>女</v>
      </c>
    </row>
    <row r="636" customHeight="1" spans="1:7">
      <c r="A636" s="6">
        <v>634</v>
      </c>
      <c r="B636" s="6" t="str">
        <f>"72072024112719431374426"</f>
        <v>72072024112719431374426</v>
      </c>
      <c r="C636" s="6" t="str">
        <f t="shared" si="146"/>
        <v>0104</v>
      </c>
      <c r="D636" s="6" t="s">
        <v>12</v>
      </c>
      <c r="E636" s="6" t="s">
        <v>9</v>
      </c>
      <c r="F636" s="6" t="str">
        <f>"安伟莉"</f>
        <v>安伟莉</v>
      </c>
      <c r="G636" s="6" t="str">
        <f t="shared" si="151"/>
        <v>女</v>
      </c>
    </row>
    <row r="637" customHeight="1" spans="1:7">
      <c r="A637" s="6">
        <v>635</v>
      </c>
      <c r="B637" s="6" t="str">
        <f>"72072024112419255658414"</f>
        <v>72072024112419255658414</v>
      </c>
      <c r="C637" s="6" t="str">
        <f t="shared" si="146"/>
        <v>0104</v>
      </c>
      <c r="D637" s="6" t="s">
        <v>12</v>
      </c>
      <c r="E637" s="6" t="s">
        <v>9</v>
      </c>
      <c r="F637" s="6" t="str">
        <f>"周梦娜"</f>
        <v>周梦娜</v>
      </c>
      <c r="G637" s="6" t="str">
        <f t="shared" si="151"/>
        <v>女</v>
      </c>
    </row>
    <row r="638" customHeight="1" spans="1:7">
      <c r="A638" s="6">
        <v>636</v>
      </c>
      <c r="B638" s="6" t="str">
        <f>"72072024112720201774573"</f>
        <v>72072024112720201774573</v>
      </c>
      <c r="C638" s="6" t="str">
        <f t="shared" si="146"/>
        <v>0104</v>
      </c>
      <c r="D638" s="6" t="s">
        <v>12</v>
      </c>
      <c r="E638" s="6" t="s">
        <v>9</v>
      </c>
      <c r="F638" s="6" t="str">
        <f>"陈家豪"</f>
        <v>陈家豪</v>
      </c>
      <c r="G638" s="6" t="str">
        <f t="shared" ref="G638:G641" si="152">"男"</f>
        <v>男</v>
      </c>
    </row>
    <row r="639" customHeight="1" spans="1:7">
      <c r="A639" s="6">
        <v>637</v>
      </c>
      <c r="B639" s="6" t="str">
        <f>"72072024112511594162269"</f>
        <v>72072024112511594162269</v>
      </c>
      <c r="C639" s="6" t="str">
        <f t="shared" si="146"/>
        <v>0104</v>
      </c>
      <c r="D639" s="6" t="s">
        <v>12</v>
      </c>
      <c r="E639" s="6" t="s">
        <v>9</v>
      </c>
      <c r="F639" s="6" t="str">
        <f>"蔡美杰"</f>
        <v>蔡美杰</v>
      </c>
      <c r="G639" s="6" t="str">
        <f t="shared" si="152"/>
        <v>男</v>
      </c>
    </row>
    <row r="640" customHeight="1" spans="1:7">
      <c r="A640" s="6">
        <v>638</v>
      </c>
      <c r="B640" s="6" t="str">
        <f>"72072024112722301975089"</f>
        <v>72072024112722301975089</v>
      </c>
      <c r="C640" s="6" t="str">
        <f t="shared" si="146"/>
        <v>0104</v>
      </c>
      <c r="D640" s="6" t="s">
        <v>12</v>
      </c>
      <c r="E640" s="6" t="s">
        <v>9</v>
      </c>
      <c r="F640" s="6" t="str">
        <f>"蒲世灵"</f>
        <v>蒲世灵</v>
      </c>
      <c r="G640" s="6" t="str">
        <f t="shared" ref="G640:G643" si="153">"女"</f>
        <v>女</v>
      </c>
    </row>
    <row r="641" customHeight="1" spans="1:7">
      <c r="A641" s="6">
        <v>639</v>
      </c>
      <c r="B641" s="6" t="str">
        <f>"72072024112721291874858"</f>
        <v>72072024112721291874858</v>
      </c>
      <c r="C641" s="6" t="str">
        <f t="shared" si="146"/>
        <v>0104</v>
      </c>
      <c r="D641" s="6" t="s">
        <v>12</v>
      </c>
      <c r="E641" s="6" t="s">
        <v>9</v>
      </c>
      <c r="F641" s="6" t="str">
        <f>"吉宇培"</f>
        <v>吉宇培</v>
      </c>
      <c r="G641" s="6" t="str">
        <f t="shared" si="152"/>
        <v>男</v>
      </c>
    </row>
    <row r="642" customHeight="1" spans="1:7">
      <c r="A642" s="6">
        <v>640</v>
      </c>
      <c r="B642" s="6" t="str">
        <f>"72072024112722150675036"</f>
        <v>72072024112722150675036</v>
      </c>
      <c r="C642" s="6" t="str">
        <f t="shared" si="146"/>
        <v>0104</v>
      </c>
      <c r="D642" s="6" t="s">
        <v>12</v>
      </c>
      <c r="E642" s="6" t="s">
        <v>9</v>
      </c>
      <c r="F642" s="6" t="str">
        <f>"邓超梅"</f>
        <v>邓超梅</v>
      </c>
      <c r="G642" s="6" t="str">
        <f t="shared" si="153"/>
        <v>女</v>
      </c>
    </row>
    <row r="643" customHeight="1" spans="1:7">
      <c r="A643" s="6">
        <v>641</v>
      </c>
      <c r="B643" s="6" t="str">
        <f>"72072024112720290974609"</f>
        <v>72072024112720290974609</v>
      </c>
      <c r="C643" s="6" t="str">
        <f t="shared" si="146"/>
        <v>0104</v>
      </c>
      <c r="D643" s="6" t="s">
        <v>12</v>
      </c>
      <c r="E643" s="6" t="s">
        <v>9</v>
      </c>
      <c r="F643" s="6" t="str">
        <f>"张笑宜"</f>
        <v>张笑宜</v>
      </c>
      <c r="G643" s="6" t="str">
        <f t="shared" si="153"/>
        <v>女</v>
      </c>
    </row>
    <row r="644" customHeight="1" spans="1:7">
      <c r="A644" s="6">
        <v>642</v>
      </c>
      <c r="B644" s="6" t="str">
        <f>"72072024112800044175317"</f>
        <v>72072024112800044175317</v>
      </c>
      <c r="C644" s="6" t="str">
        <f t="shared" si="146"/>
        <v>0104</v>
      </c>
      <c r="D644" s="6" t="s">
        <v>12</v>
      </c>
      <c r="E644" s="6" t="s">
        <v>9</v>
      </c>
      <c r="F644" s="6" t="str">
        <f>"吴文全"</f>
        <v>吴文全</v>
      </c>
      <c r="G644" s="6" t="str">
        <f t="shared" ref="G644:G647" si="154">"男"</f>
        <v>男</v>
      </c>
    </row>
    <row r="645" customHeight="1" spans="1:7">
      <c r="A645" s="6">
        <v>643</v>
      </c>
      <c r="B645" s="6" t="str">
        <f>"72072024112723051875210"</f>
        <v>72072024112723051875210</v>
      </c>
      <c r="C645" s="6" t="str">
        <f t="shared" si="146"/>
        <v>0104</v>
      </c>
      <c r="D645" s="6" t="s">
        <v>12</v>
      </c>
      <c r="E645" s="6" t="s">
        <v>9</v>
      </c>
      <c r="F645" s="6" t="str">
        <f>"董玉玲"</f>
        <v>董玉玲</v>
      </c>
      <c r="G645" s="6" t="str">
        <f t="shared" ref="G645:G649" si="155">"女"</f>
        <v>女</v>
      </c>
    </row>
    <row r="646" customHeight="1" spans="1:7">
      <c r="A646" s="6">
        <v>644</v>
      </c>
      <c r="B646" s="6" t="str">
        <f>"72072024112800253875338"</f>
        <v>72072024112800253875338</v>
      </c>
      <c r="C646" s="6" t="str">
        <f t="shared" si="146"/>
        <v>0104</v>
      </c>
      <c r="D646" s="6" t="s">
        <v>12</v>
      </c>
      <c r="E646" s="6" t="s">
        <v>9</v>
      </c>
      <c r="F646" s="6" t="str">
        <f>"李宗"</f>
        <v>李宗</v>
      </c>
      <c r="G646" s="6" t="str">
        <f t="shared" si="154"/>
        <v>男</v>
      </c>
    </row>
    <row r="647" customHeight="1" spans="1:7">
      <c r="A647" s="6">
        <v>645</v>
      </c>
      <c r="B647" s="6" t="str">
        <f>"72072024112800255475339"</f>
        <v>72072024112800255475339</v>
      </c>
      <c r="C647" s="6" t="str">
        <f t="shared" si="146"/>
        <v>0104</v>
      </c>
      <c r="D647" s="6" t="s">
        <v>12</v>
      </c>
      <c r="E647" s="6" t="s">
        <v>9</v>
      </c>
      <c r="F647" s="6" t="str">
        <f>"何远德"</f>
        <v>何远德</v>
      </c>
      <c r="G647" s="6" t="str">
        <f t="shared" si="154"/>
        <v>男</v>
      </c>
    </row>
    <row r="648" customHeight="1" spans="1:7">
      <c r="A648" s="6">
        <v>646</v>
      </c>
      <c r="B648" s="6" t="str">
        <f>"72072024112721143274794"</f>
        <v>72072024112721143274794</v>
      </c>
      <c r="C648" s="6" t="str">
        <f t="shared" si="146"/>
        <v>0104</v>
      </c>
      <c r="D648" s="6" t="s">
        <v>12</v>
      </c>
      <c r="E648" s="6" t="s">
        <v>9</v>
      </c>
      <c r="F648" s="6" t="str">
        <f>"高妹"</f>
        <v>高妹</v>
      </c>
      <c r="G648" s="6" t="str">
        <f t="shared" si="155"/>
        <v>女</v>
      </c>
    </row>
    <row r="649" customHeight="1" spans="1:7">
      <c r="A649" s="6">
        <v>647</v>
      </c>
      <c r="B649" s="6" t="str">
        <f>"72072024112711283572504"</f>
        <v>72072024112711283572504</v>
      </c>
      <c r="C649" s="6" t="str">
        <f t="shared" si="146"/>
        <v>0104</v>
      </c>
      <c r="D649" s="6" t="s">
        <v>12</v>
      </c>
      <c r="E649" s="6" t="s">
        <v>9</v>
      </c>
      <c r="F649" s="6" t="str">
        <f>"马晓如"</f>
        <v>马晓如</v>
      </c>
      <c r="G649" s="6" t="str">
        <f t="shared" si="155"/>
        <v>女</v>
      </c>
    </row>
    <row r="650" customHeight="1" spans="1:7">
      <c r="A650" s="6">
        <v>648</v>
      </c>
      <c r="B650" s="6" t="str">
        <f>"72072024112714213673059"</f>
        <v>72072024112714213673059</v>
      </c>
      <c r="C650" s="6" t="str">
        <f t="shared" si="146"/>
        <v>0104</v>
      </c>
      <c r="D650" s="6" t="s">
        <v>12</v>
      </c>
      <c r="E650" s="6" t="s">
        <v>9</v>
      </c>
      <c r="F650" s="6" t="str">
        <f>"张史莘"</f>
        <v>张史莘</v>
      </c>
      <c r="G650" s="6" t="str">
        <f>"男"</f>
        <v>男</v>
      </c>
    </row>
    <row r="651" customHeight="1" spans="1:7">
      <c r="A651" s="6">
        <v>649</v>
      </c>
      <c r="B651" s="6" t="str">
        <f>"72072024112809562876084"</f>
        <v>72072024112809562876084</v>
      </c>
      <c r="C651" s="6" t="str">
        <f t="shared" si="146"/>
        <v>0104</v>
      </c>
      <c r="D651" s="6" t="s">
        <v>12</v>
      </c>
      <c r="E651" s="6" t="s">
        <v>9</v>
      </c>
      <c r="F651" s="6" t="str">
        <f>"陈祥妙"</f>
        <v>陈祥妙</v>
      </c>
      <c r="G651" s="6" t="str">
        <f t="shared" ref="G651:G655" si="156">"女"</f>
        <v>女</v>
      </c>
    </row>
    <row r="652" customHeight="1" spans="1:7">
      <c r="A652" s="6">
        <v>650</v>
      </c>
      <c r="B652" s="6" t="str">
        <f>"72072024112712291872714"</f>
        <v>72072024112712291872714</v>
      </c>
      <c r="C652" s="6" t="str">
        <f t="shared" si="146"/>
        <v>0104</v>
      </c>
      <c r="D652" s="6" t="s">
        <v>12</v>
      </c>
      <c r="E652" s="6" t="s">
        <v>9</v>
      </c>
      <c r="F652" s="6" t="str">
        <f>"苏慧莹"</f>
        <v>苏慧莹</v>
      </c>
      <c r="G652" s="6" t="str">
        <f t="shared" si="156"/>
        <v>女</v>
      </c>
    </row>
    <row r="653" customHeight="1" spans="1:7">
      <c r="A653" s="6">
        <v>651</v>
      </c>
      <c r="B653" s="6" t="str">
        <f>"72072024112809272475870"</f>
        <v>72072024112809272475870</v>
      </c>
      <c r="C653" s="6" t="str">
        <f t="shared" si="146"/>
        <v>0104</v>
      </c>
      <c r="D653" s="6" t="s">
        <v>12</v>
      </c>
      <c r="E653" s="6" t="s">
        <v>9</v>
      </c>
      <c r="F653" s="6" t="str">
        <f>"孟相"</f>
        <v>孟相</v>
      </c>
      <c r="G653" s="6" t="str">
        <f t="shared" si="156"/>
        <v>女</v>
      </c>
    </row>
    <row r="654" customHeight="1" spans="1:7">
      <c r="A654" s="6">
        <v>652</v>
      </c>
      <c r="B654" s="6" t="str">
        <f>"72072024112717244773977"</f>
        <v>72072024112717244773977</v>
      </c>
      <c r="C654" s="6" t="str">
        <f t="shared" si="146"/>
        <v>0104</v>
      </c>
      <c r="D654" s="6" t="s">
        <v>12</v>
      </c>
      <c r="E654" s="6" t="s">
        <v>9</v>
      </c>
      <c r="F654" s="6" t="str">
        <f>"王传姬"</f>
        <v>王传姬</v>
      </c>
      <c r="G654" s="6" t="str">
        <f t="shared" si="156"/>
        <v>女</v>
      </c>
    </row>
    <row r="655" customHeight="1" spans="1:7">
      <c r="A655" s="6">
        <v>653</v>
      </c>
      <c r="B655" s="6" t="str">
        <f>"72072024112619370470629"</f>
        <v>72072024112619370470629</v>
      </c>
      <c r="C655" s="6" t="str">
        <f t="shared" si="146"/>
        <v>0104</v>
      </c>
      <c r="D655" s="6" t="s">
        <v>12</v>
      </c>
      <c r="E655" s="6" t="s">
        <v>9</v>
      </c>
      <c r="F655" s="6" t="str">
        <f>"林唐"</f>
        <v>林唐</v>
      </c>
      <c r="G655" s="6" t="str">
        <f t="shared" si="156"/>
        <v>女</v>
      </c>
    </row>
    <row r="656" customHeight="1" spans="1:7">
      <c r="A656" s="6">
        <v>654</v>
      </c>
      <c r="B656" s="6" t="str">
        <f>"72072024112715081773293"</f>
        <v>72072024112715081773293</v>
      </c>
      <c r="C656" s="6" t="str">
        <f t="shared" si="146"/>
        <v>0104</v>
      </c>
      <c r="D656" s="6" t="s">
        <v>12</v>
      </c>
      <c r="E656" s="6" t="s">
        <v>9</v>
      </c>
      <c r="F656" s="6" t="str">
        <f>"黄杰文"</f>
        <v>黄杰文</v>
      </c>
      <c r="G656" s="6" t="str">
        <f>"男"</f>
        <v>男</v>
      </c>
    </row>
    <row r="657" customHeight="1" spans="1:7">
      <c r="A657" s="6">
        <v>655</v>
      </c>
      <c r="B657" s="6" t="str">
        <f>"72072024112811190176649"</f>
        <v>72072024112811190176649</v>
      </c>
      <c r="C657" s="6" t="str">
        <f t="shared" si="146"/>
        <v>0104</v>
      </c>
      <c r="D657" s="6" t="s">
        <v>12</v>
      </c>
      <c r="E657" s="6" t="s">
        <v>9</v>
      </c>
      <c r="F657" s="6" t="str">
        <f>"张轩京"</f>
        <v>张轩京</v>
      </c>
      <c r="G657" s="6" t="str">
        <f>"男"</f>
        <v>男</v>
      </c>
    </row>
    <row r="658" customHeight="1" spans="1:7">
      <c r="A658" s="6">
        <v>656</v>
      </c>
      <c r="B658" s="6" t="str">
        <f>"72072024112811440476803"</f>
        <v>72072024112811440476803</v>
      </c>
      <c r="C658" s="6" t="str">
        <f t="shared" si="146"/>
        <v>0104</v>
      </c>
      <c r="D658" s="6" t="s">
        <v>12</v>
      </c>
      <c r="E658" s="6" t="s">
        <v>9</v>
      </c>
      <c r="F658" s="6" t="str">
        <f>"邓竟璇"</f>
        <v>邓竟璇</v>
      </c>
      <c r="G658" s="6" t="str">
        <f t="shared" ref="G658:G661" si="157">"女"</f>
        <v>女</v>
      </c>
    </row>
    <row r="659" customHeight="1" spans="1:7">
      <c r="A659" s="6">
        <v>657</v>
      </c>
      <c r="B659" s="6" t="str">
        <f>"72072024112811313376734"</f>
        <v>72072024112811313376734</v>
      </c>
      <c r="C659" s="6" t="str">
        <f t="shared" si="146"/>
        <v>0104</v>
      </c>
      <c r="D659" s="6" t="s">
        <v>12</v>
      </c>
      <c r="E659" s="6" t="s">
        <v>9</v>
      </c>
      <c r="F659" s="6" t="str">
        <f>"胡甜甜"</f>
        <v>胡甜甜</v>
      </c>
      <c r="G659" s="6" t="str">
        <f t="shared" si="157"/>
        <v>女</v>
      </c>
    </row>
    <row r="660" customHeight="1" spans="1:7">
      <c r="A660" s="6">
        <v>658</v>
      </c>
      <c r="B660" s="6" t="str">
        <f>"72072024112811534876847"</f>
        <v>72072024112811534876847</v>
      </c>
      <c r="C660" s="6" t="str">
        <f t="shared" si="146"/>
        <v>0104</v>
      </c>
      <c r="D660" s="6" t="s">
        <v>12</v>
      </c>
      <c r="E660" s="6" t="s">
        <v>9</v>
      </c>
      <c r="F660" s="6" t="str">
        <f>"吴彦翠"</f>
        <v>吴彦翠</v>
      </c>
      <c r="G660" s="6" t="str">
        <f t="shared" si="157"/>
        <v>女</v>
      </c>
    </row>
    <row r="661" customHeight="1" spans="1:7">
      <c r="A661" s="6">
        <v>659</v>
      </c>
      <c r="B661" s="6" t="str">
        <f>"72072024112812174976949"</f>
        <v>72072024112812174976949</v>
      </c>
      <c r="C661" s="6" t="str">
        <f t="shared" si="146"/>
        <v>0104</v>
      </c>
      <c r="D661" s="6" t="s">
        <v>12</v>
      </c>
      <c r="E661" s="6" t="s">
        <v>9</v>
      </c>
      <c r="F661" s="6" t="str">
        <f>"王嘉琪"</f>
        <v>王嘉琪</v>
      </c>
      <c r="G661" s="6" t="str">
        <f t="shared" si="157"/>
        <v>女</v>
      </c>
    </row>
    <row r="662" customHeight="1" spans="1:7">
      <c r="A662" s="6">
        <v>660</v>
      </c>
      <c r="B662" s="6" t="str">
        <f>"72072024112717231473973"</f>
        <v>72072024112717231473973</v>
      </c>
      <c r="C662" s="6" t="str">
        <f t="shared" si="146"/>
        <v>0104</v>
      </c>
      <c r="D662" s="6" t="s">
        <v>12</v>
      </c>
      <c r="E662" s="6" t="s">
        <v>9</v>
      </c>
      <c r="F662" s="6" t="str">
        <f>"马广朝"</f>
        <v>马广朝</v>
      </c>
      <c r="G662" s="6" t="str">
        <f t="shared" ref="G662:G664" si="158">"男"</f>
        <v>男</v>
      </c>
    </row>
    <row r="663" customHeight="1" spans="1:7">
      <c r="A663" s="6">
        <v>661</v>
      </c>
      <c r="B663" s="6" t="str">
        <f>"72072024112710091372058"</f>
        <v>72072024112710091372058</v>
      </c>
      <c r="C663" s="6" t="str">
        <f t="shared" si="146"/>
        <v>0104</v>
      </c>
      <c r="D663" s="6" t="s">
        <v>12</v>
      </c>
      <c r="E663" s="6" t="s">
        <v>9</v>
      </c>
      <c r="F663" s="6" t="str">
        <f>"贺孝江"</f>
        <v>贺孝江</v>
      </c>
      <c r="G663" s="6" t="str">
        <f t="shared" si="158"/>
        <v>男</v>
      </c>
    </row>
    <row r="664" customHeight="1" spans="1:7">
      <c r="A664" s="6">
        <v>662</v>
      </c>
      <c r="B664" s="6" t="str">
        <f>"72072024112317242055953"</f>
        <v>72072024112317242055953</v>
      </c>
      <c r="C664" s="6" t="str">
        <f t="shared" si="146"/>
        <v>0104</v>
      </c>
      <c r="D664" s="6" t="s">
        <v>12</v>
      </c>
      <c r="E664" s="6" t="s">
        <v>9</v>
      </c>
      <c r="F664" s="6" t="str">
        <f>"罗海川"</f>
        <v>罗海川</v>
      </c>
      <c r="G664" s="6" t="str">
        <f t="shared" si="158"/>
        <v>男</v>
      </c>
    </row>
    <row r="665" customHeight="1" spans="1:7">
      <c r="A665" s="6">
        <v>663</v>
      </c>
      <c r="B665" s="6" t="str">
        <f>"72072024112713350372915"</f>
        <v>72072024112713350372915</v>
      </c>
      <c r="C665" s="6" t="str">
        <f t="shared" si="146"/>
        <v>0104</v>
      </c>
      <c r="D665" s="6" t="s">
        <v>12</v>
      </c>
      <c r="E665" s="6" t="s">
        <v>9</v>
      </c>
      <c r="F665" s="6" t="str">
        <f>"黄宝艳"</f>
        <v>黄宝艳</v>
      </c>
      <c r="G665" s="6" t="str">
        <f t="shared" ref="G665:G671" si="159">"女"</f>
        <v>女</v>
      </c>
    </row>
    <row r="666" customHeight="1" spans="1:7">
      <c r="A666" s="6">
        <v>664</v>
      </c>
      <c r="B666" s="6" t="str">
        <f>"72072024112809253475856"</f>
        <v>72072024112809253475856</v>
      </c>
      <c r="C666" s="6" t="str">
        <f t="shared" si="146"/>
        <v>0104</v>
      </c>
      <c r="D666" s="6" t="s">
        <v>12</v>
      </c>
      <c r="E666" s="6" t="s">
        <v>9</v>
      </c>
      <c r="F666" s="6" t="str">
        <f>"孙悦芸"</f>
        <v>孙悦芸</v>
      </c>
      <c r="G666" s="6" t="str">
        <f t="shared" si="159"/>
        <v>女</v>
      </c>
    </row>
    <row r="667" customHeight="1" spans="1:7">
      <c r="A667" s="6">
        <v>665</v>
      </c>
      <c r="B667" s="6" t="str">
        <f>"72072024112211102452771"</f>
        <v>72072024112211102452771</v>
      </c>
      <c r="C667" s="6" t="str">
        <f t="shared" si="146"/>
        <v>0104</v>
      </c>
      <c r="D667" s="6" t="s">
        <v>12</v>
      </c>
      <c r="E667" s="6" t="s">
        <v>9</v>
      </c>
      <c r="F667" s="6" t="str">
        <f>"佘雨育"</f>
        <v>佘雨育</v>
      </c>
      <c r="G667" s="6" t="str">
        <f>"男"</f>
        <v>男</v>
      </c>
    </row>
    <row r="668" customHeight="1" spans="1:7">
      <c r="A668" s="6">
        <v>666</v>
      </c>
      <c r="B668" s="6" t="str">
        <f>"72072024112810471176447"</f>
        <v>72072024112810471176447</v>
      </c>
      <c r="C668" s="6" t="str">
        <f t="shared" si="146"/>
        <v>0104</v>
      </c>
      <c r="D668" s="6" t="s">
        <v>12</v>
      </c>
      <c r="E668" s="6" t="s">
        <v>9</v>
      </c>
      <c r="F668" s="6" t="str">
        <f>"吴丹"</f>
        <v>吴丹</v>
      </c>
      <c r="G668" s="6" t="str">
        <f t="shared" si="159"/>
        <v>女</v>
      </c>
    </row>
    <row r="669" customHeight="1" spans="1:7">
      <c r="A669" s="6">
        <v>667</v>
      </c>
      <c r="B669" s="6" t="str">
        <f>"72072024112814555977777"</f>
        <v>72072024112814555977777</v>
      </c>
      <c r="C669" s="6" t="str">
        <f t="shared" si="146"/>
        <v>0104</v>
      </c>
      <c r="D669" s="6" t="s">
        <v>12</v>
      </c>
      <c r="E669" s="6" t="s">
        <v>9</v>
      </c>
      <c r="F669" s="6" t="str">
        <f>"陈周枚薇"</f>
        <v>陈周枚薇</v>
      </c>
      <c r="G669" s="6" t="str">
        <f t="shared" si="159"/>
        <v>女</v>
      </c>
    </row>
    <row r="670" customHeight="1" spans="1:7">
      <c r="A670" s="6">
        <v>668</v>
      </c>
      <c r="B670" s="6" t="str">
        <f>"72072024112816241878543"</f>
        <v>72072024112816241878543</v>
      </c>
      <c r="C670" s="6" t="str">
        <f t="shared" si="146"/>
        <v>0104</v>
      </c>
      <c r="D670" s="6" t="s">
        <v>12</v>
      </c>
      <c r="E670" s="6" t="s">
        <v>9</v>
      </c>
      <c r="F670" s="6" t="str">
        <f>"莫绪月"</f>
        <v>莫绪月</v>
      </c>
      <c r="G670" s="6" t="str">
        <f t="shared" si="159"/>
        <v>女</v>
      </c>
    </row>
    <row r="671" customHeight="1" spans="1:7">
      <c r="A671" s="6">
        <v>669</v>
      </c>
      <c r="B671" s="6" t="str">
        <f>"72072024112816301678583"</f>
        <v>72072024112816301678583</v>
      </c>
      <c r="C671" s="6" t="str">
        <f t="shared" ref="C671:C734" si="160">"0104"</f>
        <v>0104</v>
      </c>
      <c r="D671" s="6" t="s">
        <v>12</v>
      </c>
      <c r="E671" s="6" t="s">
        <v>9</v>
      </c>
      <c r="F671" s="6" t="str">
        <f>"吴钟红"</f>
        <v>吴钟红</v>
      </c>
      <c r="G671" s="6" t="str">
        <f t="shared" si="159"/>
        <v>女</v>
      </c>
    </row>
    <row r="672" customHeight="1" spans="1:7">
      <c r="A672" s="6">
        <v>670</v>
      </c>
      <c r="B672" s="6" t="str">
        <f>"72072024112812252076980"</f>
        <v>72072024112812252076980</v>
      </c>
      <c r="C672" s="6" t="str">
        <f t="shared" si="160"/>
        <v>0104</v>
      </c>
      <c r="D672" s="6" t="s">
        <v>12</v>
      </c>
      <c r="E672" s="6" t="s">
        <v>9</v>
      </c>
      <c r="F672" s="6" t="str">
        <f>"廖令"</f>
        <v>廖令</v>
      </c>
      <c r="G672" s="6" t="str">
        <f t="shared" ref="G672:G676" si="161">"男"</f>
        <v>男</v>
      </c>
    </row>
    <row r="673" customHeight="1" spans="1:7">
      <c r="A673" s="6">
        <v>671</v>
      </c>
      <c r="B673" s="6" t="str">
        <f>"72072024112309451954930"</f>
        <v>72072024112309451954930</v>
      </c>
      <c r="C673" s="6" t="str">
        <f t="shared" si="160"/>
        <v>0104</v>
      </c>
      <c r="D673" s="6" t="s">
        <v>12</v>
      </c>
      <c r="E673" s="6" t="s">
        <v>9</v>
      </c>
      <c r="F673" s="6" t="str">
        <f>"纪新岳"</f>
        <v>纪新岳</v>
      </c>
      <c r="G673" s="6" t="str">
        <f t="shared" si="161"/>
        <v>男</v>
      </c>
    </row>
    <row r="674" customHeight="1" spans="1:7">
      <c r="A674" s="6">
        <v>672</v>
      </c>
      <c r="B674" s="6" t="str">
        <f>"72072024112811571676867"</f>
        <v>72072024112811571676867</v>
      </c>
      <c r="C674" s="6" t="str">
        <f t="shared" si="160"/>
        <v>0104</v>
      </c>
      <c r="D674" s="6" t="s">
        <v>12</v>
      </c>
      <c r="E674" s="6" t="s">
        <v>9</v>
      </c>
      <c r="F674" s="6" t="str">
        <f>"董亚天"</f>
        <v>董亚天</v>
      </c>
      <c r="G674" s="6" t="str">
        <f t="shared" ref="G674:G677" si="162">"女"</f>
        <v>女</v>
      </c>
    </row>
    <row r="675" customHeight="1" spans="1:7">
      <c r="A675" s="6">
        <v>673</v>
      </c>
      <c r="B675" s="6" t="str">
        <f>"72072024112817421279070"</f>
        <v>72072024112817421279070</v>
      </c>
      <c r="C675" s="6" t="str">
        <f t="shared" si="160"/>
        <v>0104</v>
      </c>
      <c r="D675" s="6" t="s">
        <v>12</v>
      </c>
      <c r="E675" s="6" t="s">
        <v>9</v>
      </c>
      <c r="F675" s="6" t="str">
        <f>"吉树嬉"</f>
        <v>吉树嬉</v>
      </c>
      <c r="G675" s="6" t="str">
        <f t="shared" si="162"/>
        <v>女</v>
      </c>
    </row>
    <row r="676" customHeight="1" spans="1:7">
      <c r="A676" s="6">
        <v>674</v>
      </c>
      <c r="B676" s="6" t="str">
        <f>"72072024112509101559844"</f>
        <v>72072024112509101559844</v>
      </c>
      <c r="C676" s="6" t="str">
        <f t="shared" si="160"/>
        <v>0104</v>
      </c>
      <c r="D676" s="6" t="s">
        <v>12</v>
      </c>
      <c r="E676" s="6" t="s">
        <v>9</v>
      </c>
      <c r="F676" s="6" t="str">
        <f>"杨郅"</f>
        <v>杨郅</v>
      </c>
      <c r="G676" s="6" t="str">
        <f t="shared" si="161"/>
        <v>男</v>
      </c>
    </row>
    <row r="677" customHeight="1" spans="1:7">
      <c r="A677" s="6">
        <v>675</v>
      </c>
      <c r="B677" s="6" t="str">
        <f>"72072024112520030266141"</f>
        <v>72072024112520030266141</v>
      </c>
      <c r="C677" s="6" t="str">
        <f t="shared" si="160"/>
        <v>0104</v>
      </c>
      <c r="D677" s="6" t="s">
        <v>12</v>
      </c>
      <c r="E677" s="6" t="s">
        <v>9</v>
      </c>
      <c r="F677" s="6" t="str">
        <f>"颜菁菁"</f>
        <v>颜菁菁</v>
      </c>
      <c r="G677" s="6" t="str">
        <f t="shared" si="162"/>
        <v>女</v>
      </c>
    </row>
    <row r="678" customHeight="1" spans="1:7">
      <c r="A678" s="6">
        <v>676</v>
      </c>
      <c r="B678" s="6" t="str">
        <f>"72072024112211484352886"</f>
        <v>72072024112211484352886</v>
      </c>
      <c r="C678" s="6" t="str">
        <f t="shared" si="160"/>
        <v>0104</v>
      </c>
      <c r="D678" s="6" t="s">
        <v>12</v>
      </c>
      <c r="E678" s="6" t="s">
        <v>9</v>
      </c>
      <c r="F678" s="6" t="str">
        <f>"梁赞发"</f>
        <v>梁赞发</v>
      </c>
      <c r="G678" s="6" t="str">
        <f>"男"</f>
        <v>男</v>
      </c>
    </row>
    <row r="679" customHeight="1" spans="1:7">
      <c r="A679" s="6">
        <v>677</v>
      </c>
      <c r="B679" s="6" t="str">
        <f>"72072024112812520177132"</f>
        <v>72072024112812520177132</v>
      </c>
      <c r="C679" s="6" t="str">
        <f t="shared" si="160"/>
        <v>0104</v>
      </c>
      <c r="D679" s="6" t="s">
        <v>12</v>
      </c>
      <c r="E679" s="6" t="s">
        <v>9</v>
      </c>
      <c r="F679" s="6" t="str">
        <f>"吕谢芳"</f>
        <v>吕谢芳</v>
      </c>
      <c r="G679" s="6" t="str">
        <f t="shared" ref="G679:G684" si="163">"女"</f>
        <v>女</v>
      </c>
    </row>
    <row r="680" customHeight="1" spans="1:7">
      <c r="A680" s="6">
        <v>678</v>
      </c>
      <c r="B680" s="6" t="str">
        <f>"72072024112819340679833"</f>
        <v>72072024112819340679833</v>
      </c>
      <c r="C680" s="6" t="str">
        <f t="shared" si="160"/>
        <v>0104</v>
      </c>
      <c r="D680" s="6" t="s">
        <v>12</v>
      </c>
      <c r="E680" s="6" t="s">
        <v>9</v>
      </c>
      <c r="F680" s="6" t="str">
        <f>"周亚曼"</f>
        <v>周亚曼</v>
      </c>
      <c r="G680" s="6" t="str">
        <f t="shared" si="163"/>
        <v>女</v>
      </c>
    </row>
    <row r="681" customHeight="1" spans="1:7">
      <c r="A681" s="6">
        <v>679</v>
      </c>
      <c r="B681" s="6" t="str">
        <f>"72072024112818222079310"</f>
        <v>72072024112818222079310</v>
      </c>
      <c r="C681" s="6" t="str">
        <f t="shared" si="160"/>
        <v>0104</v>
      </c>
      <c r="D681" s="6" t="s">
        <v>12</v>
      </c>
      <c r="E681" s="6" t="s">
        <v>9</v>
      </c>
      <c r="F681" s="6" t="str">
        <f>"王彬娇"</f>
        <v>王彬娇</v>
      </c>
      <c r="G681" s="6" t="str">
        <f t="shared" si="163"/>
        <v>女</v>
      </c>
    </row>
    <row r="682" customHeight="1" spans="1:7">
      <c r="A682" s="6">
        <v>680</v>
      </c>
      <c r="B682" s="6" t="str">
        <f>"72072024112821060880584"</f>
        <v>72072024112821060880584</v>
      </c>
      <c r="C682" s="6" t="str">
        <f t="shared" si="160"/>
        <v>0104</v>
      </c>
      <c r="D682" s="6" t="s">
        <v>12</v>
      </c>
      <c r="E682" s="6" t="s">
        <v>9</v>
      </c>
      <c r="F682" s="6" t="str">
        <f>"高琪"</f>
        <v>高琪</v>
      </c>
      <c r="G682" s="6" t="str">
        <f t="shared" si="163"/>
        <v>女</v>
      </c>
    </row>
    <row r="683" customHeight="1" spans="1:7">
      <c r="A683" s="6">
        <v>681</v>
      </c>
      <c r="B683" s="6" t="str">
        <f>"72072024112820495080452"</f>
        <v>72072024112820495080452</v>
      </c>
      <c r="C683" s="6" t="str">
        <f t="shared" si="160"/>
        <v>0104</v>
      </c>
      <c r="D683" s="6" t="s">
        <v>12</v>
      </c>
      <c r="E683" s="6" t="s">
        <v>9</v>
      </c>
      <c r="F683" s="6" t="str">
        <f>"孟春梦"</f>
        <v>孟春梦</v>
      </c>
      <c r="G683" s="6" t="str">
        <f t="shared" si="163"/>
        <v>女</v>
      </c>
    </row>
    <row r="684" customHeight="1" spans="1:7">
      <c r="A684" s="6">
        <v>682</v>
      </c>
      <c r="B684" s="6" t="str">
        <f>"72072024112800301475345"</f>
        <v>72072024112800301475345</v>
      </c>
      <c r="C684" s="6" t="str">
        <f t="shared" si="160"/>
        <v>0104</v>
      </c>
      <c r="D684" s="6" t="s">
        <v>12</v>
      </c>
      <c r="E684" s="6" t="s">
        <v>9</v>
      </c>
      <c r="F684" s="6" t="str">
        <f>"董棉燕"</f>
        <v>董棉燕</v>
      </c>
      <c r="G684" s="6" t="str">
        <f t="shared" si="163"/>
        <v>女</v>
      </c>
    </row>
    <row r="685" customHeight="1" spans="1:7">
      <c r="A685" s="6">
        <v>683</v>
      </c>
      <c r="B685" s="6" t="str">
        <f>"72072024112820495980453"</f>
        <v>72072024112820495980453</v>
      </c>
      <c r="C685" s="6" t="str">
        <f t="shared" si="160"/>
        <v>0104</v>
      </c>
      <c r="D685" s="6" t="s">
        <v>12</v>
      </c>
      <c r="E685" s="6" t="s">
        <v>9</v>
      </c>
      <c r="F685" s="6" t="str">
        <f>"芦泓华"</f>
        <v>芦泓华</v>
      </c>
      <c r="G685" s="6" t="str">
        <f>"男"</f>
        <v>男</v>
      </c>
    </row>
    <row r="686" customHeight="1" spans="1:7">
      <c r="A686" s="6">
        <v>684</v>
      </c>
      <c r="B686" s="6" t="str">
        <f>"72072024112812233176976"</f>
        <v>72072024112812233176976</v>
      </c>
      <c r="C686" s="6" t="str">
        <f t="shared" si="160"/>
        <v>0104</v>
      </c>
      <c r="D686" s="6" t="s">
        <v>12</v>
      </c>
      <c r="E686" s="6" t="s">
        <v>9</v>
      </c>
      <c r="F686" s="6" t="str">
        <f>"廖洪"</f>
        <v>廖洪</v>
      </c>
      <c r="G686" s="6" t="str">
        <f t="shared" ref="G686:G690" si="164">"女"</f>
        <v>女</v>
      </c>
    </row>
    <row r="687" customHeight="1" spans="1:7">
      <c r="A687" s="6">
        <v>685</v>
      </c>
      <c r="B687" s="6" t="str">
        <f>"72072024112817400879056"</f>
        <v>72072024112817400879056</v>
      </c>
      <c r="C687" s="6" t="str">
        <f t="shared" si="160"/>
        <v>0104</v>
      </c>
      <c r="D687" s="6" t="s">
        <v>12</v>
      </c>
      <c r="E687" s="6" t="s">
        <v>9</v>
      </c>
      <c r="F687" s="6" t="str">
        <f>"孙鸿钦"</f>
        <v>孙鸿钦</v>
      </c>
      <c r="G687" s="6" t="str">
        <f>"男"</f>
        <v>男</v>
      </c>
    </row>
    <row r="688" customHeight="1" spans="1:7">
      <c r="A688" s="6">
        <v>686</v>
      </c>
      <c r="B688" s="6" t="str">
        <f>"72072024112820173480199"</f>
        <v>72072024112820173480199</v>
      </c>
      <c r="C688" s="6" t="str">
        <f t="shared" si="160"/>
        <v>0104</v>
      </c>
      <c r="D688" s="6" t="s">
        <v>12</v>
      </c>
      <c r="E688" s="6" t="s">
        <v>9</v>
      </c>
      <c r="F688" s="6" t="str">
        <f>"符芳芬"</f>
        <v>符芳芬</v>
      </c>
      <c r="G688" s="6" t="str">
        <f t="shared" si="164"/>
        <v>女</v>
      </c>
    </row>
    <row r="689" customHeight="1" spans="1:7">
      <c r="A689" s="6">
        <v>687</v>
      </c>
      <c r="B689" s="6" t="str">
        <f>"72072024112621234770992"</f>
        <v>72072024112621234770992</v>
      </c>
      <c r="C689" s="6" t="str">
        <f t="shared" si="160"/>
        <v>0104</v>
      </c>
      <c r="D689" s="6" t="s">
        <v>12</v>
      </c>
      <c r="E689" s="6" t="s">
        <v>9</v>
      </c>
      <c r="F689" s="6" t="str">
        <f>"龙欢根"</f>
        <v>龙欢根</v>
      </c>
      <c r="G689" s="6" t="str">
        <f t="shared" si="164"/>
        <v>女</v>
      </c>
    </row>
    <row r="690" customHeight="1" spans="1:7">
      <c r="A690" s="6">
        <v>688</v>
      </c>
      <c r="B690" s="6" t="str">
        <f>"72072024112821131380645"</f>
        <v>72072024112821131380645</v>
      </c>
      <c r="C690" s="6" t="str">
        <f t="shared" si="160"/>
        <v>0104</v>
      </c>
      <c r="D690" s="6" t="s">
        <v>12</v>
      </c>
      <c r="E690" s="6" t="s">
        <v>9</v>
      </c>
      <c r="F690" s="6" t="str">
        <f>"符玉姐"</f>
        <v>符玉姐</v>
      </c>
      <c r="G690" s="6" t="str">
        <f t="shared" si="164"/>
        <v>女</v>
      </c>
    </row>
    <row r="691" customHeight="1" spans="1:7">
      <c r="A691" s="6">
        <v>689</v>
      </c>
      <c r="B691" s="6" t="str">
        <f>"72072024112311450855206"</f>
        <v>72072024112311450855206</v>
      </c>
      <c r="C691" s="6" t="str">
        <f t="shared" si="160"/>
        <v>0104</v>
      </c>
      <c r="D691" s="6" t="s">
        <v>12</v>
      </c>
      <c r="E691" s="6" t="s">
        <v>9</v>
      </c>
      <c r="F691" s="6" t="str">
        <f>"许越"</f>
        <v>许越</v>
      </c>
      <c r="G691" s="6" t="str">
        <f t="shared" ref="G691:G696" si="165">"男"</f>
        <v>男</v>
      </c>
    </row>
    <row r="692" customHeight="1" spans="1:7">
      <c r="A692" s="6">
        <v>690</v>
      </c>
      <c r="B692" s="6" t="str">
        <f>"72072024112821292580788"</f>
        <v>72072024112821292580788</v>
      </c>
      <c r="C692" s="6" t="str">
        <f t="shared" si="160"/>
        <v>0104</v>
      </c>
      <c r="D692" s="6" t="s">
        <v>12</v>
      </c>
      <c r="E692" s="6" t="s">
        <v>9</v>
      </c>
      <c r="F692" s="6" t="str">
        <f>"池嘉欣"</f>
        <v>池嘉欣</v>
      </c>
      <c r="G692" s="6" t="str">
        <f t="shared" ref="G692:G694" si="166">"女"</f>
        <v>女</v>
      </c>
    </row>
    <row r="693" customHeight="1" spans="1:7">
      <c r="A693" s="6">
        <v>691</v>
      </c>
      <c r="B693" s="6" t="str">
        <f>"72072024112812253376982"</f>
        <v>72072024112812253376982</v>
      </c>
      <c r="C693" s="6" t="str">
        <f t="shared" si="160"/>
        <v>0104</v>
      </c>
      <c r="D693" s="6" t="s">
        <v>12</v>
      </c>
      <c r="E693" s="6" t="s">
        <v>9</v>
      </c>
      <c r="F693" s="6" t="str">
        <f>"胡恩思"</f>
        <v>胡恩思</v>
      </c>
      <c r="G693" s="6" t="str">
        <f t="shared" si="166"/>
        <v>女</v>
      </c>
    </row>
    <row r="694" customHeight="1" spans="1:7">
      <c r="A694" s="6">
        <v>692</v>
      </c>
      <c r="B694" s="6" t="str">
        <f>"72072024112822094781152"</f>
        <v>72072024112822094781152</v>
      </c>
      <c r="C694" s="6" t="str">
        <f t="shared" si="160"/>
        <v>0104</v>
      </c>
      <c r="D694" s="6" t="s">
        <v>12</v>
      </c>
      <c r="E694" s="6" t="s">
        <v>9</v>
      </c>
      <c r="F694" s="6" t="str">
        <f>"黎启晓"</f>
        <v>黎启晓</v>
      </c>
      <c r="G694" s="6" t="str">
        <f t="shared" si="166"/>
        <v>女</v>
      </c>
    </row>
    <row r="695" customHeight="1" spans="1:7">
      <c r="A695" s="6">
        <v>693</v>
      </c>
      <c r="B695" s="6" t="str">
        <f>"72072024112822344981370"</f>
        <v>72072024112822344981370</v>
      </c>
      <c r="C695" s="6" t="str">
        <f t="shared" si="160"/>
        <v>0104</v>
      </c>
      <c r="D695" s="6" t="s">
        <v>12</v>
      </c>
      <c r="E695" s="6" t="s">
        <v>9</v>
      </c>
      <c r="F695" s="6" t="str">
        <f>"黎瑞全"</f>
        <v>黎瑞全</v>
      </c>
      <c r="G695" s="6" t="str">
        <f t="shared" si="165"/>
        <v>男</v>
      </c>
    </row>
    <row r="696" customHeight="1" spans="1:7">
      <c r="A696" s="6">
        <v>694</v>
      </c>
      <c r="B696" s="6" t="str">
        <f>"72072024112815594778328"</f>
        <v>72072024112815594778328</v>
      </c>
      <c r="C696" s="6" t="str">
        <f t="shared" si="160"/>
        <v>0104</v>
      </c>
      <c r="D696" s="6" t="s">
        <v>12</v>
      </c>
      <c r="E696" s="6" t="s">
        <v>9</v>
      </c>
      <c r="F696" s="6" t="str">
        <f>"黎伟明"</f>
        <v>黎伟明</v>
      </c>
      <c r="G696" s="6" t="str">
        <f t="shared" si="165"/>
        <v>男</v>
      </c>
    </row>
    <row r="697" customHeight="1" spans="1:7">
      <c r="A697" s="6">
        <v>695</v>
      </c>
      <c r="B697" s="6" t="str">
        <f>"72072024112823063881569"</f>
        <v>72072024112823063881569</v>
      </c>
      <c r="C697" s="6" t="str">
        <f t="shared" si="160"/>
        <v>0104</v>
      </c>
      <c r="D697" s="6" t="s">
        <v>12</v>
      </c>
      <c r="E697" s="6" t="s">
        <v>9</v>
      </c>
      <c r="F697" s="6" t="str">
        <f>"黄晓莹"</f>
        <v>黄晓莹</v>
      </c>
      <c r="G697" s="6" t="str">
        <f t="shared" ref="G697:G699" si="167">"女"</f>
        <v>女</v>
      </c>
    </row>
    <row r="698" customHeight="1" spans="1:7">
      <c r="A698" s="6">
        <v>696</v>
      </c>
      <c r="B698" s="6" t="str">
        <f>"72072024112520112966187"</f>
        <v>72072024112520112966187</v>
      </c>
      <c r="C698" s="6" t="str">
        <f t="shared" si="160"/>
        <v>0104</v>
      </c>
      <c r="D698" s="6" t="s">
        <v>12</v>
      </c>
      <c r="E698" s="6" t="s">
        <v>9</v>
      </c>
      <c r="F698" s="6" t="str">
        <f>"张远星"</f>
        <v>张远星</v>
      </c>
      <c r="G698" s="6" t="str">
        <f t="shared" si="167"/>
        <v>女</v>
      </c>
    </row>
    <row r="699" customHeight="1" spans="1:7">
      <c r="A699" s="6">
        <v>697</v>
      </c>
      <c r="B699" s="6" t="str">
        <f>"72072024112823435781765"</f>
        <v>72072024112823435781765</v>
      </c>
      <c r="C699" s="6" t="str">
        <f t="shared" si="160"/>
        <v>0104</v>
      </c>
      <c r="D699" s="6" t="s">
        <v>12</v>
      </c>
      <c r="E699" s="6" t="s">
        <v>9</v>
      </c>
      <c r="F699" s="6" t="str">
        <f>"姚丽容"</f>
        <v>姚丽容</v>
      </c>
      <c r="G699" s="6" t="str">
        <f t="shared" si="167"/>
        <v>女</v>
      </c>
    </row>
    <row r="700" customHeight="1" spans="1:7">
      <c r="A700" s="6">
        <v>698</v>
      </c>
      <c r="B700" s="6" t="str">
        <f>"72072024112723222075254"</f>
        <v>72072024112723222075254</v>
      </c>
      <c r="C700" s="6" t="str">
        <f t="shared" si="160"/>
        <v>0104</v>
      </c>
      <c r="D700" s="6" t="s">
        <v>12</v>
      </c>
      <c r="E700" s="6" t="s">
        <v>9</v>
      </c>
      <c r="F700" s="6" t="str">
        <f>"陈俊同"</f>
        <v>陈俊同</v>
      </c>
      <c r="G700" s="6" t="str">
        <f>"男"</f>
        <v>男</v>
      </c>
    </row>
    <row r="701" customHeight="1" spans="1:7">
      <c r="A701" s="6">
        <v>699</v>
      </c>
      <c r="B701" s="6" t="str">
        <f>"72072024112722172675043"</f>
        <v>72072024112722172675043</v>
      </c>
      <c r="C701" s="6" t="str">
        <f t="shared" si="160"/>
        <v>0104</v>
      </c>
      <c r="D701" s="6" t="s">
        <v>12</v>
      </c>
      <c r="E701" s="6" t="s">
        <v>9</v>
      </c>
      <c r="F701" s="6" t="str">
        <f>"罗程程"</f>
        <v>罗程程</v>
      </c>
      <c r="G701" s="6" t="str">
        <f t="shared" ref="G701:G706" si="168">"女"</f>
        <v>女</v>
      </c>
    </row>
    <row r="702" customHeight="1" spans="1:7">
      <c r="A702" s="6">
        <v>700</v>
      </c>
      <c r="B702" s="6" t="str">
        <f>"72072024112722061575008"</f>
        <v>72072024112722061575008</v>
      </c>
      <c r="C702" s="6" t="str">
        <f t="shared" si="160"/>
        <v>0104</v>
      </c>
      <c r="D702" s="6" t="s">
        <v>12</v>
      </c>
      <c r="E702" s="6" t="s">
        <v>9</v>
      </c>
      <c r="F702" s="6" t="str">
        <f>"黄杰敏"</f>
        <v>黄杰敏</v>
      </c>
      <c r="G702" s="6" t="str">
        <f t="shared" si="168"/>
        <v>女</v>
      </c>
    </row>
    <row r="703" customHeight="1" spans="1:7">
      <c r="A703" s="6">
        <v>701</v>
      </c>
      <c r="B703" s="6" t="str">
        <f>"72072024112610572768486"</f>
        <v>72072024112610572768486</v>
      </c>
      <c r="C703" s="6" t="str">
        <f t="shared" si="160"/>
        <v>0104</v>
      </c>
      <c r="D703" s="6" t="s">
        <v>12</v>
      </c>
      <c r="E703" s="6" t="s">
        <v>9</v>
      </c>
      <c r="F703" s="6" t="str">
        <f>"谢璐繁"</f>
        <v>谢璐繁</v>
      </c>
      <c r="G703" s="6" t="str">
        <f t="shared" si="168"/>
        <v>女</v>
      </c>
    </row>
    <row r="704" customHeight="1" spans="1:7">
      <c r="A704" s="6">
        <v>702</v>
      </c>
      <c r="B704" s="6" t="str">
        <f>"72072024112900554181962"</f>
        <v>72072024112900554181962</v>
      </c>
      <c r="C704" s="6" t="str">
        <f t="shared" si="160"/>
        <v>0104</v>
      </c>
      <c r="D704" s="6" t="s">
        <v>12</v>
      </c>
      <c r="E704" s="6" t="s">
        <v>9</v>
      </c>
      <c r="F704" s="6" t="str">
        <f>"林红佳"</f>
        <v>林红佳</v>
      </c>
      <c r="G704" s="6" t="str">
        <f t="shared" si="168"/>
        <v>女</v>
      </c>
    </row>
    <row r="705" customHeight="1" spans="1:7">
      <c r="A705" s="6">
        <v>703</v>
      </c>
      <c r="B705" s="6" t="str">
        <f>"72072024112900350481932"</f>
        <v>72072024112900350481932</v>
      </c>
      <c r="C705" s="6" t="str">
        <f t="shared" si="160"/>
        <v>0104</v>
      </c>
      <c r="D705" s="6" t="s">
        <v>12</v>
      </c>
      <c r="E705" s="6" t="s">
        <v>9</v>
      </c>
      <c r="F705" s="6" t="str">
        <f>"具思慈"</f>
        <v>具思慈</v>
      </c>
      <c r="G705" s="6" t="str">
        <f t="shared" si="168"/>
        <v>女</v>
      </c>
    </row>
    <row r="706" customHeight="1" spans="1:7">
      <c r="A706" s="6">
        <v>704</v>
      </c>
      <c r="B706" s="6" t="str">
        <f>"72072024112900460381950"</f>
        <v>72072024112900460381950</v>
      </c>
      <c r="C706" s="6" t="str">
        <f t="shared" si="160"/>
        <v>0104</v>
      </c>
      <c r="D706" s="6" t="s">
        <v>12</v>
      </c>
      <c r="E706" s="6" t="s">
        <v>9</v>
      </c>
      <c r="F706" s="6" t="str">
        <f>"高颖超"</f>
        <v>高颖超</v>
      </c>
      <c r="G706" s="6" t="str">
        <f t="shared" si="168"/>
        <v>女</v>
      </c>
    </row>
    <row r="707" customHeight="1" spans="1:7">
      <c r="A707" s="6">
        <v>705</v>
      </c>
      <c r="B707" s="6" t="str">
        <f>"72072024112321185156401"</f>
        <v>72072024112321185156401</v>
      </c>
      <c r="C707" s="6" t="str">
        <f t="shared" si="160"/>
        <v>0104</v>
      </c>
      <c r="D707" s="6" t="s">
        <v>12</v>
      </c>
      <c r="E707" s="6" t="s">
        <v>9</v>
      </c>
      <c r="F707" s="6" t="str">
        <f>"张雪龙"</f>
        <v>张雪龙</v>
      </c>
      <c r="G707" s="6" t="str">
        <f t="shared" ref="G707:G710" si="169">"男"</f>
        <v>男</v>
      </c>
    </row>
    <row r="708" customHeight="1" spans="1:7">
      <c r="A708" s="6">
        <v>706</v>
      </c>
      <c r="B708" s="6" t="str">
        <f>"72072024112901200181988"</f>
        <v>72072024112901200181988</v>
      </c>
      <c r="C708" s="6" t="str">
        <f t="shared" si="160"/>
        <v>0104</v>
      </c>
      <c r="D708" s="6" t="s">
        <v>12</v>
      </c>
      <c r="E708" s="6" t="s">
        <v>9</v>
      </c>
      <c r="F708" s="6" t="str">
        <f>"董明华"</f>
        <v>董明华</v>
      </c>
      <c r="G708" s="6" t="str">
        <f t="shared" si="169"/>
        <v>男</v>
      </c>
    </row>
    <row r="709" customHeight="1" spans="1:7">
      <c r="A709" s="6">
        <v>707</v>
      </c>
      <c r="B709" s="6" t="str">
        <f>"72072024112309221454871"</f>
        <v>72072024112309221454871</v>
      </c>
      <c r="C709" s="6" t="str">
        <f t="shared" si="160"/>
        <v>0104</v>
      </c>
      <c r="D709" s="6" t="s">
        <v>12</v>
      </c>
      <c r="E709" s="6" t="s">
        <v>9</v>
      </c>
      <c r="F709" s="6" t="str">
        <f>"姜之源"</f>
        <v>姜之源</v>
      </c>
      <c r="G709" s="6" t="str">
        <f t="shared" ref="G709:G712" si="170">"女"</f>
        <v>女</v>
      </c>
    </row>
    <row r="710" customHeight="1" spans="1:7">
      <c r="A710" s="6">
        <v>708</v>
      </c>
      <c r="B710" s="6" t="str">
        <f>"72072024112904290082043"</f>
        <v>72072024112904290082043</v>
      </c>
      <c r="C710" s="6" t="str">
        <f t="shared" si="160"/>
        <v>0104</v>
      </c>
      <c r="D710" s="6" t="s">
        <v>12</v>
      </c>
      <c r="E710" s="6" t="s">
        <v>9</v>
      </c>
      <c r="F710" s="6" t="str">
        <f>"许治颖"</f>
        <v>许治颖</v>
      </c>
      <c r="G710" s="6" t="str">
        <f t="shared" si="169"/>
        <v>男</v>
      </c>
    </row>
    <row r="711" customHeight="1" spans="1:7">
      <c r="A711" s="6">
        <v>709</v>
      </c>
      <c r="B711" s="6" t="str">
        <f>"72072024112900185181894"</f>
        <v>72072024112900185181894</v>
      </c>
      <c r="C711" s="6" t="str">
        <f t="shared" si="160"/>
        <v>0104</v>
      </c>
      <c r="D711" s="6" t="s">
        <v>12</v>
      </c>
      <c r="E711" s="6" t="s">
        <v>9</v>
      </c>
      <c r="F711" s="6" t="str">
        <f>"陈天玉"</f>
        <v>陈天玉</v>
      </c>
      <c r="G711" s="6" t="str">
        <f t="shared" si="170"/>
        <v>女</v>
      </c>
    </row>
    <row r="712" customHeight="1" spans="1:7">
      <c r="A712" s="6">
        <v>710</v>
      </c>
      <c r="B712" s="6" t="str">
        <f>"72072024112520420766337"</f>
        <v>72072024112520420766337</v>
      </c>
      <c r="C712" s="6" t="str">
        <f t="shared" si="160"/>
        <v>0104</v>
      </c>
      <c r="D712" s="6" t="s">
        <v>12</v>
      </c>
      <c r="E712" s="6" t="s">
        <v>9</v>
      </c>
      <c r="F712" s="6" t="str">
        <f>"林琳"</f>
        <v>林琳</v>
      </c>
      <c r="G712" s="6" t="str">
        <f t="shared" si="170"/>
        <v>女</v>
      </c>
    </row>
    <row r="713" customHeight="1" spans="1:7">
      <c r="A713" s="6">
        <v>711</v>
      </c>
      <c r="B713" s="6" t="str">
        <f>"72072024112815343578125"</f>
        <v>72072024112815343578125</v>
      </c>
      <c r="C713" s="6" t="str">
        <f t="shared" si="160"/>
        <v>0104</v>
      </c>
      <c r="D713" s="6" t="s">
        <v>12</v>
      </c>
      <c r="E713" s="6" t="s">
        <v>9</v>
      </c>
      <c r="F713" s="6" t="str">
        <f>"孙曙"</f>
        <v>孙曙</v>
      </c>
      <c r="G713" s="6" t="str">
        <f>"男"</f>
        <v>男</v>
      </c>
    </row>
    <row r="714" customHeight="1" spans="1:7">
      <c r="A714" s="6">
        <v>712</v>
      </c>
      <c r="B714" s="6" t="str">
        <f>"72072024112318471756098"</f>
        <v>72072024112318471756098</v>
      </c>
      <c r="C714" s="6" t="str">
        <f t="shared" si="160"/>
        <v>0104</v>
      </c>
      <c r="D714" s="6" t="s">
        <v>12</v>
      </c>
      <c r="E714" s="6" t="s">
        <v>9</v>
      </c>
      <c r="F714" s="6" t="str">
        <f>"朱婷"</f>
        <v>朱婷</v>
      </c>
      <c r="G714" s="6" t="str">
        <f t="shared" ref="G714:G717" si="171">"女"</f>
        <v>女</v>
      </c>
    </row>
    <row r="715" customHeight="1" spans="1:7">
      <c r="A715" s="6">
        <v>713</v>
      </c>
      <c r="B715" s="6" t="str">
        <f>"72072024112711255772493"</f>
        <v>72072024112711255772493</v>
      </c>
      <c r="C715" s="6" t="str">
        <f t="shared" si="160"/>
        <v>0104</v>
      </c>
      <c r="D715" s="6" t="s">
        <v>12</v>
      </c>
      <c r="E715" s="6" t="s">
        <v>9</v>
      </c>
      <c r="F715" s="6" t="str">
        <f>"李佳琦"</f>
        <v>李佳琦</v>
      </c>
      <c r="G715" s="6" t="str">
        <f t="shared" si="171"/>
        <v>女</v>
      </c>
    </row>
    <row r="716" customHeight="1" spans="1:7">
      <c r="A716" s="6">
        <v>714</v>
      </c>
      <c r="B716" s="6" t="str">
        <f>"72072024112909191882913"</f>
        <v>72072024112909191882913</v>
      </c>
      <c r="C716" s="6" t="str">
        <f t="shared" si="160"/>
        <v>0104</v>
      </c>
      <c r="D716" s="6" t="s">
        <v>12</v>
      </c>
      <c r="E716" s="6" t="s">
        <v>9</v>
      </c>
      <c r="F716" s="6" t="str">
        <f>"关晓璐"</f>
        <v>关晓璐</v>
      </c>
      <c r="G716" s="6" t="str">
        <f t="shared" si="171"/>
        <v>女</v>
      </c>
    </row>
    <row r="717" customHeight="1" spans="1:7">
      <c r="A717" s="6">
        <v>715</v>
      </c>
      <c r="B717" s="6" t="str">
        <f>"72072024112310444355082"</f>
        <v>72072024112310444355082</v>
      </c>
      <c r="C717" s="6" t="str">
        <f t="shared" si="160"/>
        <v>0104</v>
      </c>
      <c r="D717" s="6" t="s">
        <v>12</v>
      </c>
      <c r="E717" s="6" t="s">
        <v>9</v>
      </c>
      <c r="F717" s="6" t="str">
        <f>"林金飞"</f>
        <v>林金飞</v>
      </c>
      <c r="G717" s="6" t="str">
        <f t="shared" si="171"/>
        <v>女</v>
      </c>
    </row>
    <row r="718" customHeight="1" spans="1:7">
      <c r="A718" s="6">
        <v>716</v>
      </c>
      <c r="B718" s="6" t="str">
        <f>"72072024112722062675009"</f>
        <v>72072024112722062675009</v>
      </c>
      <c r="C718" s="6" t="str">
        <f t="shared" si="160"/>
        <v>0104</v>
      </c>
      <c r="D718" s="6" t="s">
        <v>12</v>
      </c>
      <c r="E718" s="6" t="s">
        <v>9</v>
      </c>
      <c r="F718" s="6" t="str">
        <f>"杨进"</f>
        <v>杨进</v>
      </c>
      <c r="G718" s="6" t="str">
        <f>"男"</f>
        <v>男</v>
      </c>
    </row>
    <row r="719" customHeight="1" spans="1:7">
      <c r="A719" s="6">
        <v>717</v>
      </c>
      <c r="B719" s="6" t="str">
        <f>"72072024112823022681546"</f>
        <v>72072024112823022681546</v>
      </c>
      <c r="C719" s="6" t="str">
        <f t="shared" si="160"/>
        <v>0104</v>
      </c>
      <c r="D719" s="6" t="s">
        <v>12</v>
      </c>
      <c r="E719" s="6" t="s">
        <v>9</v>
      </c>
      <c r="F719" s="6" t="str">
        <f>"林琼莎"</f>
        <v>林琼莎</v>
      </c>
      <c r="G719" s="6" t="str">
        <f t="shared" ref="G719:G725" si="172">"女"</f>
        <v>女</v>
      </c>
    </row>
    <row r="720" customHeight="1" spans="1:7">
      <c r="A720" s="6">
        <v>718</v>
      </c>
      <c r="B720" s="6" t="str">
        <f>"72072024112719141474324"</f>
        <v>72072024112719141474324</v>
      </c>
      <c r="C720" s="6" t="str">
        <f t="shared" si="160"/>
        <v>0104</v>
      </c>
      <c r="D720" s="6" t="s">
        <v>12</v>
      </c>
      <c r="E720" s="6" t="s">
        <v>9</v>
      </c>
      <c r="F720" s="6" t="str">
        <f>"林嘉嘉"</f>
        <v>林嘉嘉</v>
      </c>
      <c r="G720" s="6" t="str">
        <f t="shared" si="172"/>
        <v>女</v>
      </c>
    </row>
    <row r="721" customHeight="1" spans="1:7">
      <c r="A721" s="6">
        <v>719</v>
      </c>
      <c r="B721" s="6" t="str">
        <f>"72072024112901495082008"</f>
        <v>72072024112901495082008</v>
      </c>
      <c r="C721" s="6" t="str">
        <f t="shared" si="160"/>
        <v>0104</v>
      </c>
      <c r="D721" s="6" t="s">
        <v>12</v>
      </c>
      <c r="E721" s="6" t="s">
        <v>9</v>
      </c>
      <c r="F721" s="6" t="str">
        <f>"王聪"</f>
        <v>王聪</v>
      </c>
      <c r="G721" s="6" t="str">
        <f>"男"</f>
        <v>男</v>
      </c>
    </row>
    <row r="722" customHeight="1" spans="1:7">
      <c r="A722" s="6">
        <v>720</v>
      </c>
      <c r="B722" s="6" t="str">
        <f>"72072024112909050482652"</f>
        <v>72072024112909050482652</v>
      </c>
      <c r="C722" s="6" t="str">
        <f t="shared" si="160"/>
        <v>0104</v>
      </c>
      <c r="D722" s="6" t="s">
        <v>12</v>
      </c>
      <c r="E722" s="6" t="s">
        <v>9</v>
      </c>
      <c r="F722" s="6" t="str">
        <f>"林苗"</f>
        <v>林苗</v>
      </c>
      <c r="G722" s="6" t="str">
        <f t="shared" si="172"/>
        <v>女</v>
      </c>
    </row>
    <row r="723" customHeight="1" spans="1:7">
      <c r="A723" s="6">
        <v>721</v>
      </c>
      <c r="B723" s="6" t="str">
        <f>"72072024112910004283695"</f>
        <v>72072024112910004283695</v>
      </c>
      <c r="C723" s="6" t="str">
        <f t="shared" si="160"/>
        <v>0104</v>
      </c>
      <c r="D723" s="6" t="s">
        <v>12</v>
      </c>
      <c r="E723" s="6" t="s">
        <v>9</v>
      </c>
      <c r="F723" s="6" t="str">
        <f>"钱光美"</f>
        <v>钱光美</v>
      </c>
      <c r="G723" s="6" t="str">
        <f t="shared" si="172"/>
        <v>女</v>
      </c>
    </row>
    <row r="724" customHeight="1" spans="1:7">
      <c r="A724" s="6">
        <v>722</v>
      </c>
      <c r="B724" s="6" t="str">
        <f>"72072024112910004483696"</f>
        <v>72072024112910004483696</v>
      </c>
      <c r="C724" s="6" t="str">
        <f t="shared" si="160"/>
        <v>0104</v>
      </c>
      <c r="D724" s="6" t="s">
        <v>12</v>
      </c>
      <c r="E724" s="6" t="s">
        <v>9</v>
      </c>
      <c r="F724" s="6" t="str">
        <f>"梁蕴露"</f>
        <v>梁蕴露</v>
      </c>
      <c r="G724" s="6" t="str">
        <f t="shared" si="172"/>
        <v>女</v>
      </c>
    </row>
    <row r="725" customHeight="1" spans="1:7">
      <c r="A725" s="6">
        <v>723</v>
      </c>
      <c r="B725" s="6" t="str">
        <f>"72072024112609573568099"</f>
        <v>72072024112609573568099</v>
      </c>
      <c r="C725" s="6" t="str">
        <f t="shared" si="160"/>
        <v>0104</v>
      </c>
      <c r="D725" s="6" t="s">
        <v>12</v>
      </c>
      <c r="E725" s="6" t="s">
        <v>9</v>
      </c>
      <c r="F725" s="6" t="str">
        <f>"黎虹幸"</f>
        <v>黎虹幸</v>
      </c>
      <c r="G725" s="6" t="str">
        <f t="shared" si="172"/>
        <v>女</v>
      </c>
    </row>
    <row r="726" customHeight="1" spans="1:7">
      <c r="A726" s="6">
        <v>724</v>
      </c>
      <c r="B726" s="6" t="str">
        <f>"72072024112820464080425"</f>
        <v>72072024112820464080425</v>
      </c>
      <c r="C726" s="6" t="str">
        <f t="shared" si="160"/>
        <v>0104</v>
      </c>
      <c r="D726" s="6" t="s">
        <v>12</v>
      </c>
      <c r="E726" s="6" t="s">
        <v>9</v>
      </c>
      <c r="F726" s="6" t="str">
        <f>"王绍宇"</f>
        <v>王绍宇</v>
      </c>
      <c r="G726" s="6" t="str">
        <f>"男"</f>
        <v>男</v>
      </c>
    </row>
    <row r="727" customHeight="1" spans="1:7">
      <c r="A727" s="6">
        <v>725</v>
      </c>
      <c r="B727" s="6" t="str">
        <f>"72072024112909281983109"</f>
        <v>72072024112909281983109</v>
      </c>
      <c r="C727" s="6" t="str">
        <f t="shared" si="160"/>
        <v>0104</v>
      </c>
      <c r="D727" s="6" t="s">
        <v>12</v>
      </c>
      <c r="E727" s="6" t="s">
        <v>9</v>
      </c>
      <c r="F727" s="6" t="str">
        <f>"彭麟"</f>
        <v>彭麟</v>
      </c>
      <c r="G727" s="6" t="str">
        <f>"男"</f>
        <v>男</v>
      </c>
    </row>
    <row r="728" customHeight="1" spans="1:7">
      <c r="A728" s="6">
        <v>726</v>
      </c>
      <c r="B728" s="6" t="str">
        <f>"72072024112910222984067"</f>
        <v>72072024112910222984067</v>
      </c>
      <c r="C728" s="6" t="str">
        <f t="shared" si="160"/>
        <v>0104</v>
      </c>
      <c r="D728" s="6" t="s">
        <v>12</v>
      </c>
      <c r="E728" s="6" t="s">
        <v>9</v>
      </c>
      <c r="F728" s="6" t="str">
        <f>"符传兵"</f>
        <v>符传兵</v>
      </c>
      <c r="G728" s="6" t="str">
        <f t="shared" ref="G728:G745" si="173">"女"</f>
        <v>女</v>
      </c>
    </row>
    <row r="729" customHeight="1" spans="1:7">
      <c r="A729" s="6">
        <v>727</v>
      </c>
      <c r="B729" s="6" t="str">
        <f>"72072024112908471282417"</f>
        <v>72072024112908471282417</v>
      </c>
      <c r="C729" s="6" t="str">
        <f t="shared" si="160"/>
        <v>0104</v>
      </c>
      <c r="D729" s="6" t="s">
        <v>12</v>
      </c>
      <c r="E729" s="6" t="s">
        <v>9</v>
      </c>
      <c r="F729" s="6" t="str">
        <f>"陈雨桐"</f>
        <v>陈雨桐</v>
      </c>
      <c r="G729" s="6" t="str">
        <f t="shared" si="173"/>
        <v>女</v>
      </c>
    </row>
    <row r="730" customHeight="1" spans="1:7">
      <c r="A730" s="6">
        <v>728</v>
      </c>
      <c r="B730" s="6" t="str">
        <f>"72072024112910034883748"</f>
        <v>72072024112910034883748</v>
      </c>
      <c r="C730" s="6" t="str">
        <f t="shared" si="160"/>
        <v>0104</v>
      </c>
      <c r="D730" s="6" t="s">
        <v>12</v>
      </c>
      <c r="E730" s="6" t="s">
        <v>9</v>
      </c>
      <c r="F730" s="6" t="str">
        <f>"农思婷"</f>
        <v>农思婷</v>
      </c>
      <c r="G730" s="6" t="str">
        <f t="shared" si="173"/>
        <v>女</v>
      </c>
    </row>
    <row r="731" customHeight="1" spans="1:7">
      <c r="A731" s="6">
        <v>729</v>
      </c>
      <c r="B731" s="6" t="str">
        <f>"72072024112908294982282"</f>
        <v>72072024112908294982282</v>
      </c>
      <c r="C731" s="6" t="str">
        <f t="shared" si="160"/>
        <v>0104</v>
      </c>
      <c r="D731" s="6" t="s">
        <v>12</v>
      </c>
      <c r="E731" s="6" t="s">
        <v>9</v>
      </c>
      <c r="F731" s="6" t="str">
        <f>"苏欢"</f>
        <v>苏欢</v>
      </c>
      <c r="G731" s="6" t="str">
        <f t="shared" si="173"/>
        <v>女</v>
      </c>
    </row>
    <row r="732" customHeight="1" spans="1:7">
      <c r="A732" s="6">
        <v>730</v>
      </c>
      <c r="B732" s="6" t="str">
        <f>"72072024112815141177937"</f>
        <v>72072024112815141177937</v>
      </c>
      <c r="C732" s="6" t="str">
        <f t="shared" si="160"/>
        <v>0104</v>
      </c>
      <c r="D732" s="6" t="s">
        <v>12</v>
      </c>
      <c r="E732" s="6" t="s">
        <v>9</v>
      </c>
      <c r="F732" s="6" t="str">
        <f>"林日恋"</f>
        <v>林日恋</v>
      </c>
      <c r="G732" s="6" t="str">
        <f t="shared" si="173"/>
        <v>女</v>
      </c>
    </row>
    <row r="733" customHeight="1" spans="1:7">
      <c r="A733" s="6">
        <v>731</v>
      </c>
      <c r="B733" s="6" t="str">
        <f>"72072024112910495884493"</f>
        <v>72072024112910495884493</v>
      </c>
      <c r="C733" s="6" t="str">
        <f t="shared" si="160"/>
        <v>0104</v>
      </c>
      <c r="D733" s="6" t="s">
        <v>12</v>
      </c>
      <c r="E733" s="6" t="s">
        <v>9</v>
      </c>
      <c r="F733" s="6" t="str">
        <f>"董丹丹"</f>
        <v>董丹丹</v>
      </c>
      <c r="G733" s="6" t="str">
        <f t="shared" si="173"/>
        <v>女</v>
      </c>
    </row>
    <row r="734" customHeight="1" spans="1:7">
      <c r="A734" s="6">
        <v>732</v>
      </c>
      <c r="B734" s="6" t="str">
        <f>"72072024112513294063034"</f>
        <v>72072024112513294063034</v>
      </c>
      <c r="C734" s="6" t="str">
        <f t="shared" si="160"/>
        <v>0104</v>
      </c>
      <c r="D734" s="6" t="s">
        <v>12</v>
      </c>
      <c r="E734" s="6" t="s">
        <v>9</v>
      </c>
      <c r="F734" s="6" t="str">
        <f>"张春媚"</f>
        <v>张春媚</v>
      </c>
      <c r="G734" s="6" t="str">
        <f t="shared" si="173"/>
        <v>女</v>
      </c>
    </row>
    <row r="735" customHeight="1" spans="1:7">
      <c r="A735" s="6">
        <v>733</v>
      </c>
      <c r="B735" s="6" t="str">
        <f>"72072024112821402980889"</f>
        <v>72072024112821402980889</v>
      </c>
      <c r="C735" s="6" t="str">
        <f t="shared" ref="C735:C739" si="174">"0104"</f>
        <v>0104</v>
      </c>
      <c r="D735" s="6" t="s">
        <v>12</v>
      </c>
      <c r="E735" s="6" t="s">
        <v>9</v>
      </c>
      <c r="F735" s="6" t="str">
        <f>"郭警"</f>
        <v>郭警</v>
      </c>
      <c r="G735" s="6" t="str">
        <f t="shared" si="173"/>
        <v>女</v>
      </c>
    </row>
    <row r="736" customHeight="1" spans="1:7">
      <c r="A736" s="6">
        <v>734</v>
      </c>
      <c r="B736" s="6" t="str">
        <f>"72072024112911051084746"</f>
        <v>72072024112911051084746</v>
      </c>
      <c r="C736" s="6" t="str">
        <f t="shared" si="174"/>
        <v>0104</v>
      </c>
      <c r="D736" s="6" t="s">
        <v>12</v>
      </c>
      <c r="E736" s="6" t="s">
        <v>9</v>
      </c>
      <c r="F736" s="6" t="str">
        <f>"覃绕"</f>
        <v>覃绕</v>
      </c>
      <c r="G736" s="6" t="str">
        <f t="shared" si="173"/>
        <v>女</v>
      </c>
    </row>
    <row r="737" customHeight="1" spans="1:7">
      <c r="A737" s="6">
        <v>735</v>
      </c>
      <c r="B737" s="6" t="str">
        <f>"72072024112911175484954"</f>
        <v>72072024112911175484954</v>
      </c>
      <c r="C737" s="6" t="str">
        <f t="shared" si="174"/>
        <v>0104</v>
      </c>
      <c r="D737" s="6" t="s">
        <v>12</v>
      </c>
      <c r="E737" s="6" t="s">
        <v>9</v>
      </c>
      <c r="F737" s="6" t="str">
        <f>"魏蒙"</f>
        <v>魏蒙</v>
      </c>
      <c r="G737" s="6" t="str">
        <f t="shared" si="173"/>
        <v>女</v>
      </c>
    </row>
    <row r="738" customHeight="1" spans="1:7">
      <c r="A738" s="6">
        <v>736</v>
      </c>
      <c r="B738" s="6" t="str">
        <f>"72072024112909132082799"</f>
        <v>72072024112909132082799</v>
      </c>
      <c r="C738" s="6" t="str">
        <f t="shared" si="174"/>
        <v>0104</v>
      </c>
      <c r="D738" s="6" t="s">
        <v>12</v>
      </c>
      <c r="E738" s="6" t="s">
        <v>9</v>
      </c>
      <c r="F738" s="6" t="str">
        <f>"徐飞"</f>
        <v>徐飞</v>
      </c>
      <c r="G738" s="6" t="str">
        <f t="shared" si="173"/>
        <v>女</v>
      </c>
    </row>
    <row r="739" customHeight="1" spans="1:7">
      <c r="A739" s="6">
        <v>737</v>
      </c>
      <c r="B739" s="6" t="str">
        <f>"72072024112911335185187"</f>
        <v>72072024112911335185187</v>
      </c>
      <c r="C739" s="6" t="str">
        <f t="shared" si="174"/>
        <v>0104</v>
      </c>
      <c r="D739" s="6" t="s">
        <v>12</v>
      </c>
      <c r="E739" s="6" t="s">
        <v>9</v>
      </c>
      <c r="F739" s="6" t="str">
        <f>"袁米"</f>
        <v>袁米</v>
      </c>
      <c r="G739" s="6" t="str">
        <f t="shared" si="173"/>
        <v>女</v>
      </c>
    </row>
    <row r="740" customHeight="1" spans="1:7">
      <c r="A740" s="6">
        <v>738</v>
      </c>
      <c r="B740" s="6" t="str">
        <f>"72072024112209222052345"</f>
        <v>72072024112209222052345</v>
      </c>
      <c r="C740" s="6" t="str">
        <f t="shared" ref="C740:C803" si="175">"0105"</f>
        <v>0105</v>
      </c>
      <c r="D740" s="6" t="s">
        <v>13</v>
      </c>
      <c r="E740" s="6" t="s">
        <v>9</v>
      </c>
      <c r="F740" s="6" t="str">
        <f>"刘少寒"</f>
        <v>刘少寒</v>
      </c>
      <c r="G740" s="6" t="str">
        <f t="shared" si="173"/>
        <v>女</v>
      </c>
    </row>
    <row r="741" customHeight="1" spans="1:7">
      <c r="A741" s="6">
        <v>739</v>
      </c>
      <c r="B741" s="6" t="str">
        <f>"72072024112211193952800"</f>
        <v>72072024112211193952800</v>
      </c>
      <c r="C741" s="6" t="str">
        <f t="shared" si="175"/>
        <v>0105</v>
      </c>
      <c r="D741" s="6" t="s">
        <v>13</v>
      </c>
      <c r="E741" s="6" t="s">
        <v>9</v>
      </c>
      <c r="F741" s="6" t="str">
        <f>"王勇妍"</f>
        <v>王勇妍</v>
      </c>
      <c r="G741" s="6" t="str">
        <f t="shared" si="173"/>
        <v>女</v>
      </c>
    </row>
    <row r="742" customHeight="1" spans="1:7">
      <c r="A742" s="6">
        <v>740</v>
      </c>
      <c r="B742" s="6" t="str">
        <f>"72072024112213164253084"</f>
        <v>72072024112213164253084</v>
      </c>
      <c r="C742" s="6" t="str">
        <f t="shared" si="175"/>
        <v>0105</v>
      </c>
      <c r="D742" s="6" t="s">
        <v>13</v>
      </c>
      <c r="E742" s="6" t="s">
        <v>9</v>
      </c>
      <c r="F742" s="6" t="str">
        <f>"林金玲"</f>
        <v>林金玲</v>
      </c>
      <c r="G742" s="6" t="str">
        <f t="shared" si="173"/>
        <v>女</v>
      </c>
    </row>
    <row r="743" customHeight="1" spans="1:7">
      <c r="A743" s="6">
        <v>741</v>
      </c>
      <c r="B743" s="6" t="str">
        <f>"72072024112210395052661"</f>
        <v>72072024112210395052661</v>
      </c>
      <c r="C743" s="6" t="str">
        <f t="shared" si="175"/>
        <v>0105</v>
      </c>
      <c r="D743" s="6" t="s">
        <v>13</v>
      </c>
      <c r="E743" s="6" t="s">
        <v>9</v>
      </c>
      <c r="F743" s="6" t="str">
        <f>"容倩景"</f>
        <v>容倩景</v>
      </c>
      <c r="G743" s="6" t="str">
        <f t="shared" si="173"/>
        <v>女</v>
      </c>
    </row>
    <row r="744" customHeight="1" spans="1:7">
      <c r="A744" s="6">
        <v>742</v>
      </c>
      <c r="B744" s="6" t="str">
        <f>"72072024112213384453138"</f>
        <v>72072024112213384453138</v>
      </c>
      <c r="C744" s="6" t="str">
        <f t="shared" si="175"/>
        <v>0105</v>
      </c>
      <c r="D744" s="6" t="s">
        <v>13</v>
      </c>
      <c r="E744" s="6" t="s">
        <v>9</v>
      </c>
      <c r="F744" s="6" t="str">
        <f>"胡亚女"</f>
        <v>胡亚女</v>
      </c>
      <c r="G744" s="6" t="str">
        <f t="shared" si="173"/>
        <v>女</v>
      </c>
    </row>
    <row r="745" customHeight="1" spans="1:7">
      <c r="A745" s="6">
        <v>743</v>
      </c>
      <c r="B745" s="6" t="str">
        <f>"72072024112210590552728"</f>
        <v>72072024112210590552728</v>
      </c>
      <c r="C745" s="6" t="str">
        <f t="shared" si="175"/>
        <v>0105</v>
      </c>
      <c r="D745" s="6" t="s">
        <v>13</v>
      </c>
      <c r="E745" s="6" t="s">
        <v>9</v>
      </c>
      <c r="F745" s="6" t="str">
        <f>"文富运"</f>
        <v>文富运</v>
      </c>
      <c r="G745" s="6" t="str">
        <f t="shared" si="173"/>
        <v>女</v>
      </c>
    </row>
    <row r="746" customHeight="1" spans="1:7">
      <c r="A746" s="6">
        <v>744</v>
      </c>
      <c r="B746" s="6" t="str">
        <f>"72072024112313433155467"</f>
        <v>72072024112313433155467</v>
      </c>
      <c r="C746" s="6" t="str">
        <f t="shared" si="175"/>
        <v>0105</v>
      </c>
      <c r="D746" s="6" t="s">
        <v>13</v>
      </c>
      <c r="E746" s="6" t="s">
        <v>9</v>
      </c>
      <c r="F746" s="6" t="str">
        <f>"文智"</f>
        <v>文智</v>
      </c>
      <c r="G746" s="6" t="str">
        <f>"男"</f>
        <v>男</v>
      </c>
    </row>
    <row r="747" customHeight="1" spans="1:7">
      <c r="A747" s="6">
        <v>745</v>
      </c>
      <c r="B747" s="6" t="str">
        <f>"72072024112219362354159"</f>
        <v>72072024112219362354159</v>
      </c>
      <c r="C747" s="6" t="str">
        <f t="shared" si="175"/>
        <v>0105</v>
      </c>
      <c r="D747" s="6" t="s">
        <v>13</v>
      </c>
      <c r="E747" s="6" t="s">
        <v>9</v>
      </c>
      <c r="F747" s="6" t="str">
        <f>"周贺栽"</f>
        <v>周贺栽</v>
      </c>
      <c r="G747" s="6" t="str">
        <f t="shared" ref="G747:G752" si="176">"女"</f>
        <v>女</v>
      </c>
    </row>
    <row r="748" customHeight="1" spans="1:7">
      <c r="A748" s="6">
        <v>746</v>
      </c>
      <c r="B748" s="6" t="str">
        <f>"72072024112213244453103"</f>
        <v>72072024112213244453103</v>
      </c>
      <c r="C748" s="6" t="str">
        <f t="shared" si="175"/>
        <v>0105</v>
      </c>
      <c r="D748" s="6" t="s">
        <v>13</v>
      </c>
      <c r="E748" s="6" t="s">
        <v>9</v>
      </c>
      <c r="F748" s="6" t="str">
        <f>"黎姿"</f>
        <v>黎姿</v>
      </c>
      <c r="G748" s="6" t="str">
        <f t="shared" si="176"/>
        <v>女</v>
      </c>
    </row>
    <row r="749" customHeight="1" spans="1:7">
      <c r="A749" s="6">
        <v>747</v>
      </c>
      <c r="B749" s="6" t="str">
        <f>"72072024112310420255075"</f>
        <v>72072024112310420255075</v>
      </c>
      <c r="C749" s="6" t="str">
        <f t="shared" si="175"/>
        <v>0105</v>
      </c>
      <c r="D749" s="6" t="s">
        <v>13</v>
      </c>
      <c r="E749" s="6" t="s">
        <v>9</v>
      </c>
      <c r="F749" s="6" t="str">
        <f>"符财堂"</f>
        <v>符财堂</v>
      </c>
      <c r="G749" s="6" t="str">
        <f>"男"</f>
        <v>男</v>
      </c>
    </row>
    <row r="750" customHeight="1" spans="1:7">
      <c r="A750" s="6">
        <v>748</v>
      </c>
      <c r="B750" s="6" t="str">
        <f>"72072024112210151452568"</f>
        <v>72072024112210151452568</v>
      </c>
      <c r="C750" s="6" t="str">
        <f t="shared" si="175"/>
        <v>0105</v>
      </c>
      <c r="D750" s="6" t="s">
        <v>13</v>
      </c>
      <c r="E750" s="6" t="s">
        <v>9</v>
      </c>
      <c r="F750" s="6" t="str">
        <f>"胡艳红"</f>
        <v>胡艳红</v>
      </c>
      <c r="G750" s="6" t="str">
        <f t="shared" si="176"/>
        <v>女</v>
      </c>
    </row>
    <row r="751" customHeight="1" spans="1:7">
      <c r="A751" s="6">
        <v>749</v>
      </c>
      <c r="B751" s="6" t="str">
        <f>"72072024112413243757419"</f>
        <v>72072024112413243757419</v>
      </c>
      <c r="C751" s="6" t="str">
        <f t="shared" si="175"/>
        <v>0105</v>
      </c>
      <c r="D751" s="6" t="s">
        <v>13</v>
      </c>
      <c r="E751" s="6" t="s">
        <v>9</v>
      </c>
      <c r="F751" s="6" t="str">
        <f>"林慧丹"</f>
        <v>林慧丹</v>
      </c>
      <c r="G751" s="6" t="str">
        <f t="shared" si="176"/>
        <v>女</v>
      </c>
    </row>
    <row r="752" customHeight="1" spans="1:7">
      <c r="A752" s="6">
        <v>750</v>
      </c>
      <c r="B752" s="6" t="str">
        <f>"72072024112421333658836"</f>
        <v>72072024112421333658836</v>
      </c>
      <c r="C752" s="6" t="str">
        <f t="shared" si="175"/>
        <v>0105</v>
      </c>
      <c r="D752" s="6" t="s">
        <v>13</v>
      </c>
      <c r="E752" s="6" t="s">
        <v>9</v>
      </c>
      <c r="F752" s="6" t="str">
        <f>"李青青"</f>
        <v>李青青</v>
      </c>
      <c r="G752" s="6" t="str">
        <f t="shared" si="176"/>
        <v>女</v>
      </c>
    </row>
    <row r="753" customHeight="1" spans="1:7">
      <c r="A753" s="6">
        <v>751</v>
      </c>
      <c r="B753" s="6" t="str">
        <f>"72072024112323135656600"</f>
        <v>72072024112323135656600</v>
      </c>
      <c r="C753" s="6" t="str">
        <f t="shared" si="175"/>
        <v>0105</v>
      </c>
      <c r="D753" s="6" t="s">
        <v>13</v>
      </c>
      <c r="E753" s="6" t="s">
        <v>9</v>
      </c>
      <c r="F753" s="6" t="str">
        <f>"韦少孔"</f>
        <v>韦少孔</v>
      </c>
      <c r="G753" s="6" t="str">
        <f t="shared" ref="G753:G757" si="177">"男"</f>
        <v>男</v>
      </c>
    </row>
    <row r="754" customHeight="1" spans="1:7">
      <c r="A754" s="6">
        <v>752</v>
      </c>
      <c r="B754" s="6" t="str">
        <f>"72072024112515103564059"</f>
        <v>72072024112515103564059</v>
      </c>
      <c r="C754" s="6" t="str">
        <f t="shared" si="175"/>
        <v>0105</v>
      </c>
      <c r="D754" s="6" t="s">
        <v>13</v>
      </c>
      <c r="E754" s="6" t="s">
        <v>9</v>
      </c>
      <c r="F754" s="6" t="str">
        <f>"董菊"</f>
        <v>董菊</v>
      </c>
      <c r="G754" s="6" t="str">
        <f t="shared" ref="G754:G761" si="178">"女"</f>
        <v>女</v>
      </c>
    </row>
    <row r="755" customHeight="1" spans="1:7">
      <c r="A755" s="6">
        <v>753</v>
      </c>
      <c r="B755" s="6" t="str">
        <f>"72072024112217454953908"</f>
        <v>72072024112217454953908</v>
      </c>
      <c r="C755" s="6" t="str">
        <f t="shared" si="175"/>
        <v>0105</v>
      </c>
      <c r="D755" s="6" t="s">
        <v>13</v>
      </c>
      <c r="E755" s="6" t="s">
        <v>9</v>
      </c>
      <c r="F755" s="6" t="str">
        <f>"文泽婧"</f>
        <v>文泽婧</v>
      </c>
      <c r="G755" s="6" t="str">
        <f t="shared" si="178"/>
        <v>女</v>
      </c>
    </row>
    <row r="756" customHeight="1" spans="1:7">
      <c r="A756" s="6">
        <v>754</v>
      </c>
      <c r="B756" s="6" t="str">
        <f>"72072024112516552765246"</f>
        <v>72072024112516552765246</v>
      </c>
      <c r="C756" s="6" t="str">
        <f t="shared" si="175"/>
        <v>0105</v>
      </c>
      <c r="D756" s="6" t="s">
        <v>13</v>
      </c>
      <c r="E756" s="6" t="s">
        <v>9</v>
      </c>
      <c r="F756" s="6" t="str">
        <f>"刘鹏"</f>
        <v>刘鹏</v>
      </c>
      <c r="G756" s="6" t="str">
        <f t="shared" si="177"/>
        <v>男</v>
      </c>
    </row>
    <row r="757" customHeight="1" spans="1:7">
      <c r="A757" s="6">
        <v>755</v>
      </c>
      <c r="B757" s="6" t="str">
        <f>"72072024112511594862270"</f>
        <v>72072024112511594862270</v>
      </c>
      <c r="C757" s="6" t="str">
        <f t="shared" si="175"/>
        <v>0105</v>
      </c>
      <c r="D757" s="6" t="s">
        <v>13</v>
      </c>
      <c r="E757" s="6" t="s">
        <v>9</v>
      </c>
      <c r="F757" s="6" t="str">
        <f>"罗赢"</f>
        <v>罗赢</v>
      </c>
      <c r="G757" s="6" t="str">
        <f t="shared" si="177"/>
        <v>男</v>
      </c>
    </row>
    <row r="758" customHeight="1" spans="1:7">
      <c r="A758" s="6">
        <v>756</v>
      </c>
      <c r="B758" s="6" t="str">
        <f>"72072024112520583566423"</f>
        <v>72072024112520583566423</v>
      </c>
      <c r="C758" s="6" t="str">
        <f t="shared" si="175"/>
        <v>0105</v>
      </c>
      <c r="D758" s="6" t="s">
        <v>13</v>
      </c>
      <c r="E758" s="6" t="s">
        <v>9</v>
      </c>
      <c r="F758" s="6" t="str">
        <f>"黄子娟"</f>
        <v>黄子娟</v>
      </c>
      <c r="G758" s="6" t="str">
        <f t="shared" si="178"/>
        <v>女</v>
      </c>
    </row>
    <row r="759" customHeight="1" spans="1:7">
      <c r="A759" s="6">
        <v>757</v>
      </c>
      <c r="B759" s="6" t="str">
        <f>"72072024112519234265956"</f>
        <v>72072024112519234265956</v>
      </c>
      <c r="C759" s="6" t="str">
        <f t="shared" si="175"/>
        <v>0105</v>
      </c>
      <c r="D759" s="6" t="s">
        <v>13</v>
      </c>
      <c r="E759" s="6" t="s">
        <v>9</v>
      </c>
      <c r="F759" s="6" t="str">
        <f>"纪雪影"</f>
        <v>纪雪影</v>
      </c>
      <c r="G759" s="6" t="str">
        <f t="shared" si="178"/>
        <v>女</v>
      </c>
    </row>
    <row r="760" customHeight="1" spans="1:7">
      <c r="A760" s="6">
        <v>758</v>
      </c>
      <c r="B760" s="6" t="str">
        <f>"72072024112600223867044"</f>
        <v>72072024112600223867044</v>
      </c>
      <c r="C760" s="6" t="str">
        <f t="shared" si="175"/>
        <v>0105</v>
      </c>
      <c r="D760" s="6" t="s">
        <v>13</v>
      </c>
      <c r="E760" s="6" t="s">
        <v>9</v>
      </c>
      <c r="F760" s="6" t="str">
        <f>"张冬淑"</f>
        <v>张冬淑</v>
      </c>
      <c r="G760" s="6" t="str">
        <f t="shared" si="178"/>
        <v>女</v>
      </c>
    </row>
    <row r="761" customHeight="1" spans="1:7">
      <c r="A761" s="6">
        <v>759</v>
      </c>
      <c r="B761" s="6" t="str">
        <f>"72072024112600093667036"</f>
        <v>72072024112600093667036</v>
      </c>
      <c r="C761" s="6" t="str">
        <f t="shared" si="175"/>
        <v>0105</v>
      </c>
      <c r="D761" s="6" t="s">
        <v>13</v>
      </c>
      <c r="E761" s="6" t="s">
        <v>9</v>
      </c>
      <c r="F761" s="6" t="str">
        <f>"韦影子"</f>
        <v>韦影子</v>
      </c>
      <c r="G761" s="6" t="str">
        <f t="shared" si="178"/>
        <v>女</v>
      </c>
    </row>
    <row r="762" customHeight="1" spans="1:7">
      <c r="A762" s="6">
        <v>760</v>
      </c>
      <c r="B762" s="6" t="str">
        <f>"72072024112601312267084"</f>
        <v>72072024112601312267084</v>
      </c>
      <c r="C762" s="6" t="str">
        <f t="shared" si="175"/>
        <v>0105</v>
      </c>
      <c r="D762" s="6" t="s">
        <v>13</v>
      </c>
      <c r="E762" s="6" t="s">
        <v>9</v>
      </c>
      <c r="F762" s="6" t="str">
        <f>"蒲致同"</f>
        <v>蒲致同</v>
      </c>
      <c r="G762" s="6" t="str">
        <f t="shared" ref="G762:G764" si="179">"男"</f>
        <v>男</v>
      </c>
    </row>
    <row r="763" customHeight="1" spans="1:7">
      <c r="A763" s="6">
        <v>761</v>
      </c>
      <c r="B763" s="6" t="str">
        <f>"72072024112511283261983"</f>
        <v>72072024112511283261983</v>
      </c>
      <c r="C763" s="6" t="str">
        <f t="shared" si="175"/>
        <v>0105</v>
      </c>
      <c r="D763" s="6" t="s">
        <v>13</v>
      </c>
      <c r="E763" s="6" t="s">
        <v>9</v>
      </c>
      <c r="F763" s="6" t="str">
        <f>"胡俊邦"</f>
        <v>胡俊邦</v>
      </c>
      <c r="G763" s="6" t="str">
        <f t="shared" si="179"/>
        <v>男</v>
      </c>
    </row>
    <row r="764" customHeight="1" spans="1:7">
      <c r="A764" s="6">
        <v>762</v>
      </c>
      <c r="B764" s="6" t="str">
        <f>"72072024112518365465735"</f>
        <v>72072024112518365465735</v>
      </c>
      <c r="C764" s="6" t="str">
        <f t="shared" si="175"/>
        <v>0105</v>
      </c>
      <c r="D764" s="6" t="s">
        <v>13</v>
      </c>
      <c r="E764" s="6" t="s">
        <v>9</v>
      </c>
      <c r="F764" s="6" t="str">
        <f>"韦俊甲"</f>
        <v>韦俊甲</v>
      </c>
      <c r="G764" s="6" t="str">
        <f t="shared" si="179"/>
        <v>男</v>
      </c>
    </row>
    <row r="765" customHeight="1" spans="1:7">
      <c r="A765" s="6">
        <v>763</v>
      </c>
      <c r="B765" s="6" t="str">
        <f>"72072024112515525764623"</f>
        <v>72072024112515525764623</v>
      </c>
      <c r="C765" s="6" t="str">
        <f t="shared" si="175"/>
        <v>0105</v>
      </c>
      <c r="D765" s="6" t="s">
        <v>13</v>
      </c>
      <c r="E765" s="6" t="s">
        <v>9</v>
      </c>
      <c r="F765" s="6" t="str">
        <f>"董建草"</f>
        <v>董建草</v>
      </c>
      <c r="G765" s="6" t="str">
        <f t="shared" ref="G765:G767" si="180">"女"</f>
        <v>女</v>
      </c>
    </row>
    <row r="766" customHeight="1" spans="1:7">
      <c r="A766" s="6">
        <v>764</v>
      </c>
      <c r="B766" s="6" t="str">
        <f>"72072024112609184567855"</f>
        <v>72072024112609184567855</v>
      </c>
      <c r="C766" s="6" t="str">
        <f t="shared" si="175"/>
        <v>0105</v>
      </c>
      <c r="D766" s="6" t="s">
        <v>13</v>
      </c>
      <c r="E766" s="6" t="s">
        <v>9</v>
      </c>
      <c r="F766" s="6" t="str">
        <f>"蕉慧兰"</f>
        <v>蕉慧兰</v>
      </c>
      <c r="G766" s="6" t="str">
        <f t="shared" si="180"/>
        <v>女</v>
      </c>
    </row>
    <row r="767" customHeight="1" spans="1:7">
      <c r="A767" s="6">
        <v>765</v>
      </c>
      <c r="B767" s="6" t="str">
        <f>"72072024112519053865855"</f>
        <v>72072024112519053865855</v>
      </c>
      <c r="C767" s="6" t="str">
        <f t="shared" si="175"/>
        <v>0105</v>
      </c>
      <c r="D767" s="6" t="s">
        <v>13</v>
      </c>
      <c r="E767" s="6" t="s">
        <v>9</v>
      </c>
      <c r="F767" s="6" t="str">
        <f>"陈承琳"</f>
        <v>陈承琳</v>
      </c>
      <c r="G767" s="6" t="str">
        <f t="shared" si="180"/>
        <v>女</v>
      </c>
    </row>
    <row r="768" customHeight="1" spans="1:7">
      <c r="A768" s="6">
        <v>766</v>
      </c>
      <c r="B768" s="6" t="str">
        <f>"72072024112617030070135"</f>
        <v>72072024112617030070135</v>
      </c>
      <c r="C768" s="6" t="str">
        <f t="shared" si="175"/>
        <v>0105</v>
      </c>
      <c r="D768" s="6" t="s">
        <v>13</v>
      </c>
      <c r="E768" s="6" t="s">
        <v>9</v>
      </c>
      <c r="F768" s="6" t="str">
        <f>"符斯可"</f>
        <v>符斯可</v>
      </c>
      <c r="G768" s="6" t="str">
        <f>"男"</f>
        <v>男</v>
      </c>
    </row>
    <row r="769" customHeight="1" spans="1:7">
      <c r="A769" s="6">
        <v>767</v>
      </c>
      <c r="B769" s="6" t="str">
        <f>"72072024112407523456724"</f>
        <v>72072024112407523456724</v>
      </c>
      <c r="C769" s="6" t="str">
        <f t="shared" si="175"/>
        <v>0105</v>
      </c>
      <c r="D769" s="6" t="s">
        <v>13</v>
      </c>
      <c r="E769" s="6" t="s">
        <v>9</v>
      </c>
      <c r="F769" s="6" t="str">
        <f>"王雄仙"</f>
        <v>王雄仙</v>
      </c>
      <c r="G769" s="6" t="str">
        <f t="shared" ref="G769:G775" si="181">"女"</f>
        <v>女</v>
      </c>
    </row>
    <row r="770" customHeight="1" spans="1:7">
      <c r="A770" s="6">
        <v>768</v>
      </c>
      <c r="B770" s="6" t="str">
        <f>"72072024112617503170301"</f>
        <v>72072024112617503170301</v>
      </c>
      <c r="C770" s="6" t="str">
        <f t="shared" si="175"/>
        <v>0105</v>
      </c>
      <c r="D770" s="6" t="s">
        <v>13</v>
      </c>
      <c r="E770" s="6" t="s">
        <v>9</v>
      </c>
      <c r="F770" s="6" t="str">
        <f>"张叶旗"</f>
        <v>张叶旗</v>
      </c>
      <c r="G770" s="6" t="str">
        <f t="shared" si="181"/>
        <v>女</v>
      </c>
    </row>
    <row r="771" customHeight="1" spans="1:7">
      <c r="A771" s="6">
        <v>769</v>
      </c>
      <c r="B771" s="6" t="str">
        <f>"72072024112614061369244"</f>
        <v>72072024112614061369244</v>
      </c>
      <c r="C771" s="6" t="str">
        <f t="shared" si="175"/>
        <v>0105</v>
      </c>
      <c r="D771" s="6" t="s">
        <v>13</v>
      </c>
      <c r="E771" s="6" t="s">
        <v>9</v>
      </c>
      <c r="F771" s="6" t="str">
        <f>"李雪芳"</f>
        <v>李雪芳</v>
      </c>
      <c r="G771" s="6" t="str">
        <f t="shared" si="181"/>
        <v>女</v>
      </c>
    </row>
    <row r="772" customHeight="1" spans="1:7">
      <c r="A772" s="6">
        <v>770</v>
      </c>
      <c r="B772" s="6" t="str">
        <f>"72072024112216064753572"</f>
        <v>72072024112216064753572</v>
      </c>
      <c r="C772" s="6" t="str">
        <f t="shared" si="175"/>
        <v>0105</v>
      </c>
      <c r="D772" s="6" t="s">
        <v>13</v>
      </c>
      <c r="E772" s="6" t="s">
        <v>9</v>
      </c>
      <c r="F772" s="6" t="str">
        <f>"胡小曼"</f>
        <v>胡小曼</v>
      </c>
      <c r="G772" s="6" t="str">
        <f t="shared" si="181"/>
        <v>女</v>
      </c>
    </row>
    <row r="773" customHeight="1" spans="1:7">
      <c r="A773" s="6">
        <v>771</v>
      </c>
      <c r="B773" s="6" t="str">
        <f>"72072024112623161571294"</f>
        <v>72072024112623161571294</v>
      </c>
      <c r="C773" s="6" t="str">
        <f t="shared" si="175"/>
        <v>0105</v>
      </c>
      <c r="D773" s="6" t="s">
        <v>13</v>
      </c>
      <c r="E773" s="6" t="s">
        <v>9</v>
      </c>
      <c r="F773" s="6" t="str">
        <f>"罗小佳"</f>
        <v>罗小佳</v>
      </c>
      <c r="G773" s="6" t="str">
        <f t="shared" si="181"/>
        <v>女</v>
      </c>
    </row>
    <row r="774" customHeight="1" spans="1:7">
      <c r="A774" s="6">
        <v>772</v>
      </c>
      <c r="B774" s="6" t="str">
        <f>"72072024112600384967058"</f>
        <v>72072024112600384967058</v>
      </c>
      <c r="C774" s="6" t="str">
        <f t="shared" si="175"/>
        <v>0105</v>
      </c>
      <c r="D774" s="6" t="s">
        <v>13</v>
      </c>
      <c r="E774" s="6" t="s">
        <v>9</v>
      </c>
      <c r="F774" s="6" t="str">
        <f>"张乐乐"</f>
        <v>张乐乐</v>
      </c>
      <c r="G774" s="6" t="str">
        <f t="shared" si="181"/>
        <v>女</v>
      </c>
    </row>
    <row r="775" customHeight="1" spans="1:7">
      <c r="A775" s="6">
        <v>773</v>
      </c>
      <c r="B775" s="6" t="str">
        <f>"72072024112710003572014"</f>
        <v>72072024112710003572014</v>
      </c>
      <c r="C775" s="6" t="str">
        <f t="shared" si="175"/>
        <v>0105</v>
      </c>
      <c r="D775" s="6" t="s">
        <v>13</v>
      </c>
      <c r="E775" s="6" t="s">
        <v>9</v>
      </c>
      <c r="F775" s="6" t="str">
        <f>"董思思"</f>
        <v>董思思</v>
      </c>
      <c r="G775" s="6" t="str">
        <f t="shared" si="181"/>
        <v>女</v>
      </c>
    </row>
    <row r="776" customHeight="1" spans="1:7">
      <c r="A776" s="6">
        <v>774</v>
      </c>
      <c r="B776" s="6" t="str">
        <f>"72072024112709234171742"</f>
        <v>72072024112709234171742</v>
      </c>
      <c r="C776" s="6" t="str">
        <f t="shared" si="175"/>
        <v>0105</v>
      </c>
      <c r="D776" s="6" t="s">
        <v>13</v>
      </c>
      <c r="E776" s="6" t="s">
        <v>9</v>
      </c>
      <c r="F776" s="6" t="str">
        <f>"黄明龙"</f>
        <v>黄明龙</v>
      </c>
      <c r="G776" s="6" t="str">
        <f t="shared" ref="G776:G781" si="182">"男"</f>
        <v>男</v>
      </c>
    </row>
    <row r="777" customHeight="1" spans="1:7">
      <c r="A777" s="6">
        <v>775</v>
      </c>
      <c r="B777" s="6" t="str">
        <f>"72072024112710470172287"</f>
        <v>72072024112710470172287</v>
      </c>
      <c r="C777" s="6" t="str">
        <f t="shared" si="175"/>
        <v>0105</v>
      </c>
      <c r="D777" s="6" t="s">
        <v>13</v>
      </c>
      <c r="E777" s="6" t="s">
        <v>9</v>
      </c>
      <c r="F777" s="6" t="str">
        <f>"董文艳"</f>
        <v>董文艳</v>
      </c>
      <c r="G777" s="6" t="str">
        <f t="shared" ref="G777:G779" si="183">"女"</f>
        <v>女</v>
      </c>
    </row>
    <row r="778" customHeight="1" spans="1:7">
      <c r="A778" s="6">
        <v>776</v>
      </c>
      <c r="B778" s="6" t="str">
        <f>"72072024112712360672741"</f>
        <v>72072024112712360672741</v>
      </c>
      <c r="C778" s="6" t="str">
        <f t="shared" si="175"/>
        <v>0105</v>
      </c>
      <c r="D778" s="6" t="s">
        <v>13</v>
      </c>
      <c r="E778" s="6" t="s">
        <v>9</v>
      </c>
      <c r="F778" s="6" t="str">
        <f>"陈慧清"</f>
        <v>陈慧清</v>
      </c>
      <c r="G778" s="6" t="str">
        <f t="shared" si="183"/>
        <v>女</v>
      </c>
    </row>
    <row r="779" customHeight="1" spans="1:7">
      <c r="A779" s="6">
        <v>777</v>
      </c>
      <c r="B779" s="6" t="str">
        <f>"72072024112709031771644"</f>
        <v>72072024112709031771644</v>
      </c>
      <c r="C779" s="6" t="str">
        <f t="shared" si="175"/>
        <v>0105</v>
      </c>
      <c r="D779" s="6" t="s">
        <v>13</v>
      </c>
      <c r="E779" s="6" t="s">
        <v>9</v>
      </c>
      <c r="F779" s="6" t="str">
        <f>"胡琳茜"</f>
        <v>胡琳茜</v>
      </c>
      <c r="G779" s="6" t="str">
        <f t="shared" si="183"/>
        <v>女</v>
      </c>
    </row>
    <row r="780" customHeight="1" spans="1:7">
      <c r="A780" s="6">
        <v>778</v>
      </c>
      <c r="B780" s="6" t="str">
        <f>"72072024112614003969228"</f>
        <v>72072024112614003969228</v>
      </c>
      <c r="C780" s="6" t="str">
        <f t="shared" si="175"/>
        <v>0105</v>
      </c>
      <c r="D780" s="6" t="s">
        <v>13</v>
      </c>
      <c r="E780" s="6" t="s">
        <v>9</v>
      </c>
      <c r="F780" s="6" t="str">
        <f>"唐款"</f>
        <v>唐款</v>
      </c>
      <c r="G780" s="6" t="str">
        <f t="shared" si="182"/>
        <v>男</v>
      </c>
    </row>
    <row r="781" customHeight="1" spans="1:7">
      <c r="A781" s="6">
        <v>779</v>
      </c>
      <c r="B781" s="6" t="str">
        <f>"72072024112519114165896"</f>
        <v>72072024112519114165896</v>
      </c>
      <c r="C781" s="6" t="str">
        <f t="shared" si="175"/>
        <v>0105</v>
      </c>
      <c r="D781" s="6" t="s">
        <v>13</v>
      </c>
      <c r="E781" s="6" t="s">
        <v>9</v>
      </c>
      <c r="F781" s="6" t="str">
        <f>"赵远会"</f>
        <v>赵远会</v>
      </c>
      <c r="G781" s="6" t="str">
        <f t="shared" si="182"/>
        <v>男</v>
      </c>
    </row>
    <row r="782" customHeight="1" spans="1:7">
      <c r="A782" s="6">
        <v>780</v>
      </c>
      <c r="B782" s="6" t="str">
        <f>"72072024112623381071328"</f>
        <v>72072024112623381071328</v>
      </c>
      <c r="C782" s="6" t="str">
        <f t="shared" si="175"/>
        <v>0105</v>
      </c>
      <c r="D782" s="6" t="s">
        <v>13</v>
      </c>
      <c r="E782" s="6" t="s">
        <v>9</v>
      </c>
      <c r="F782" s="6" t="str">
        <f>"兰鹰"</f>
        <v>兰鹰</v>
      </c>
      <c r="G782" s="6" t="str">
        <f t="shared" ref="G782:G784" si="184">"女"</f>
        <v>女</v>
      </c>
    </row>
    <row r="783" customHeight="1" spans="1:7">
      <c r="A783" s="6">
        <v>781</v>
      </c>
      <c r="B783" s="6" t="str">
        <f>"72072024112618472270462"</f>
        <v>72072024112618472270462</v>
      </c>
      <c r="C783" s="6" t="str">
        <f t="shared" si="175"/>
        <v>0105</v>
      </c>
      <c r="D783" s="6" t="s">
        <v>13</v>
      </c>
      <c r="E783" s="6" t="s">
        <v>9</v>
      </c>
      <c r="F783" s="6" t="str">
        <f>"蕉慧莹"</f>
        <v>蕉慧莹</v>
      </c>
      <c r="G783" s="6" t="str">
        <f t="shared" si="184"/>
        <v>女</v>
      </c>
    </row>
    <row r="784" customHeight="1" spans="1:7">
      <c r="A784" s="6">
        <v>782</v>
      </c>
      <c r="B784" s="6" t="str">
        <f>"72072024112618483770468"</f>
        <v>72072024112618483770468</v>
      </c>
      <c r="C784" s="6" t="str">
        <f t="shared" si="175"/>
        <v>0105</v>
      </c>
      <c r="D784" s="6" t="s">
        <v>13</v>
      </c>
      <c r="E784" s="6" t="s">
        <v>9</v>
      </c>
      <c r="F784" s="6" t="str">
        <f>"胡琼天"</f>
        <v>胡琼天</v>
      </c>
      <c r="G784" s="6" t="str">
        <f t="shared" si="184"/>
        <v>女</v>
      </c>
    </row>
    <row r="785" customHeight="1" spans="1:7">
      <c r="A785" s="6">
        <v>783</v>
      </c>
      <c r="B785" s="6" t="str">
        <f>"72072024112719512074460"</f>
        <v>72072024112719512074460</v>
      </c>
      <c r="C785" s="6" t="str">
        <f t="shared" si="175"/>
        <v>0105</v>
      </c>
      <c r="D785" s="6" t="s">
        <v>13</v>
      </c>
      <c r="E785" s="6" t="s">
        <v>9</v>
      </c>
      <c r="F785" s="6" t="str">
        <f>"高林义"</f>
        <v>高林义</v>
      </c>
      <c r="G785" s="6" t="str">
        <f>"男"</f>
        <v>男</v>
      </c>
    </row>
    <row r="786" customHeight="1" spans="1:7">
      <c r="A786" s="6">
        <v>784</v>
      </c>
      <c r="B786" s="6" t="str">
        <f>"72072024112621585271118"</f>
        <v>72072024112621585271118</v>
      </c>
      <c r="C786" s="6" t="str">
        <f t="shared" si="175"/>
        <v>0105</v>
      </c>
      <c r="D786" s="6" t="s">
        <v>13</v>
      </c>
      <c r="E786" s="6" t="s">
        <v>9</v>
      </c>
      <c r="F786" s="6" t="str">
        <f>"李艳"</f>
        <v>李艳</v>
      </c>
      <c r="G786" s="6" t="str">
        <f t="shared" ref="G786:G802" si="185">"女"</f>
        <v>女</v>
      </c>
    </row>
    <row r="787" customHeight="1" spans="1:7">
      <c r="A787" s="6">
        <v>785</v>
      </c>
      <c r="B787" s="6" t="str">
        <f>"72072024112720231074583"</f>
        <v>72072024112720231074583</v>
      </c>
      <c r="C787" s="6" t="str">
        <f t="shared" si="175"/>
        <v>0105</v>
      </c>
      <c r="D787" s="6" t="s">
        <v>13</v>
      </c>
      <c r="E787" s="6" t="s">
        <v>9</v>
      </c>
      <c r="F787" s="6" t="str">
        <f>"邢全浩"</f>
        <v>邢全浩</v>
      </c>
      <c r="G787" s="6" t="str">
        <f>"男"</f>
        <v>男</v>
      </c>
    </row>
    <row r="788" customHeight="1" spans="1:7">
      <c r="A788" s="6">
        <v>786</v>
      </c>
      <c r="B788" s="6" t="str">
        <f>"72072024112615072369550"</f>
        <v>72072024112615072369550</v>
      </c>
      <c r="C788" s="6" t="str">
        <f t="shared" si="175"/>
        <v>0105</v>
      </c>
      <c r="D788" s="6" t="s">
        <v>13</v>
      </c>
      <c r="E788" s="6" t="s">
        <v>9</v>
      </c>
      <c r="F788" s="6" t="str">
        <f>"胡初雨"</f>
        <v>胡初雨</v>
      </c>
      <c r="G788" s="6" t="str">
        <f t="shared" si="185"/>
        <v>女</v>
      </c>
    </row>
    <row r="789" customHeight="1" spans="1:7">
      <c r="A789" s="6">
        <v>787</v>
      </c>
      <c r="B789" s="6" t="str">
        <f>"72072024112719453074436"</f>
        <v>72072024112719453074436</v>
      </c>
      <c r="C789" s="6" t="str">
        <f t="shared" si="175"/>
        <v>0105</v>
      </c>
      <c r="D789" s="6" t="s">
        <v>13</v>
      </c>
      <c r="E789" s="6" t="s">
        <v>9</v>
      </c>
      <c r="F789" s="6" t="str">
        <f>"邢淑娟"</f>
        <v>邢淑娟</v>
      </c>
      <c r="G789" s="6" t="str">
        <f t="shared" si="185"/>
        <v>女</v>
      </c>
    </row>
    <row r="790" customHeight="1" spans="1:7">
      <c r="A790" s="6">
        <v>788</v>
      </c>
      <c r="B790" s="6" t="str">
        <f>"72072024112809110575763"</f>
        <v>72072024112809110575763</v>
      </c>
      <c r="C790" s="6" t="str">
        <f t="shared" si="175"/>
        <v>0105</v>
      </c>
      <c r="D790" s="6" t="s">
        <v>13</v>
      </c>
      <c r="E790" s="6" t="s">
        <v>9</v>
      </c>
      <c r="F790" s="6" t="str">
        <f>"董理枝"</f>
        <v>董理枝</v>
      </c>
      <c r="G790" s="6" t="str">
        <f t="shared" si="185"/>
        <v>女</v>
      </c>
    </row>
    <row r="791" customHeight="1" spans="1:7">
      <c r="A791" s="6">
        <v>789</v>
      </c>
      <c r="B791" s="6" t="str">
        <f>"72072024112614384669386"</f>
        <v>72072024112614384669386</v>
      </c>
      <c r="C791" s="6" t="str">
        <f t="shared" si="175"/>
        <v>0105</v>
      </c>
      <c r="D791" s="6" t="s">
        <v>13</v>
      </c>
      <c r="E791" s="6" t="s">
        <v>9</v>
      </c>
      <c r="F791" s="6" t="str">
        <f>"韦定娴"</f>
        <v>韦定娴</v>
      </c>
      <c r="G791" s="6" t="str">
        <f t="shared" si="185"/>
        <v>女</v>
      </c>
    </row>
    <row r="792" customHeight="1" spans="1:7">
      <c r="A792" s="6">
        <v>790</v>
      </c>
      <c r="B792" s="6" t="str">
        <f>"72072024112811255276692"</f>
        <v>72072024112811255276692</v>
      </c>
      <c r="C792" s="6" t="str">
        <f t="shared" si="175"/>
        <v>0105</v>
      </c>
      <c r="D792" s="6" t="s">
        <v>13</v>
      </c>
      <c r="E792" s="6" t="s">
        <v>9</v>
      </c>
      <c r="F792" s="6" t="str">
        <f>"周守萍"</f>
        <v>周守萍</v>
      </c>
      <c r="G792" s="6" t="str">
        <f t="shared" si="185"/>
        <v>女</v>
      </c>
    </row>
    <row r="793" customHeight="1" spans="1:7">
      <c r="A793" s="6">
        <v>791</v>
      </c>
      <c r="B793" s="6" t="str">
        <f>"72072024112716343073777"</f>
        <v>72072024112716343073777</v>
      </c>
      <c r="C793" s="6" t="str">
        <f t="shared" si="175"/>
        <v>0105</v>
      </c>
      <c r="D793" s="6" t="s">
        <v>13</v>
      </c>
      <c r="E793" s="6" t="s">
        <v>9</v>
      </c>
      <c r="F793" s="6" t="str">
        <f>"罗思思"</f>
        <v>罗思思</v>
      </c>
      <c r="G793" s="6" t="str">
        <f t="shared" si="185"/>
        <v>女</v>
      </c>
    </row>
    <row r="794" customHeight="1" spans="1:7">
      <c r="A794" s="6">
        <v>792</v>
      </c>
      <c r="B794" s="6" t="str">
        <f>"72072024112722132575031"</f>
        <v>72072024112722132575031</v>
      </c>
      <c r="C794" s="6" t="str">
        <f t="shared" si="175"/>
        <v>0105</v>
      </c>
      <c r="D794" s="6" t="s">
        <v>13</v>
      </c>
      <c r="E794" s="6" t="s">
        <v>9</v>
      </c>
      <c r="F794" s="6" t="str">
        <f>"唐健琴"</f>
        <v>唐健琴</v>
      </c>
      <c r="G794" s="6" t="str">
        <f t="shared" si="185"/>
        <v>女</v>
      </c>
    </row>
    <row r="795" customHeight="1" spans="1:7">
      <c r="A795" s="6">
        <v>793</v>
      </c>
      <c r="B795" s="6" t="str">
        <f>"72072024112609580868106"</f>
        <v>72072024112609580868106</v>
      </c>
      <c r="C795" s="6" t="str">
        <f t="shared" si="175"/>
        <v>0105</v>
      </c>
      <c r="D795" s="6" t="s">
        <v>13</v>
      </c>
      <c r="E795" s="6" t="s">
        <v>9</v>
      </c>
      <c r="F795" s="6" t="str">
        <f>"胡启兴"</f>
        <v>胡启兴</v>
      </c>
      <c r="G795" s="6" t="str">
        <f t="shared" si="185"/>
        <v>女</v>
      </c>
    </row>
    <row r="796" customHeight="1" spans="1:7">
      <c r="A796" s="6">
        <v>794</v>
      </c>
      <c r="B796" s="6" t="str">
        <f>"72072024112808420875581"</f>
        <v>72072024112808420875581</v>
      </c>
      <c r="C796" s="6" t="str">
        <f t="shared" si="175"/>
        <v>0105</v>
      </c>
      <c r="D796" s="6" t="s">
        <v>13</v>
      </c>
      <c r="E796" s="6" t="s">
        <v>9</v>
      </c>
      <c r="F796" s="6" t="str">
        <f>"韦银映"</f>
        <v>韦银映</v>
      </c>
      <c r="G796" s="6" t="str">
        <f t="shared" si="185"/>
        <v>女</v>
      </c>
    </row>
    <row r="797" customHeight="1" spans="1:7">
      <c r="A797" s="6">
        <v>795</v>
      </c>
      <c r="B797" s="6" t="str">
        <f>"72072024112420072058545"</f>
        <v>72072024112420072058545</v>
      </c>
      <c r="C797" s="6" t="str">
        <f t="shared" si="175"/>
        <v>0105</v>
      </c>
      <c r="D797" s="6" t="s">
        <v>13</v>
      </c>
      <c r="E797" s="6" t="s">
        <v>9</v>
      </c>
      <c r="F797" s="6" t="str">
        <f>"张美音"</f>
        <v>张美音</v>
      </c>
      <c r="G797" s="6" t="str">
        <f t="shared" si="185"/>
        <v>女</v>
      </c>
    </row>
    <row r="798" customHeight="1" spans="1:7">
      <c r="A798" s="6">
        <v>796</v>
      </c>
      <c r="B798" s="6" t="str">
        <f>"72072024112617254570227"</f>
        <v>72072024112617254570227</v>
      </c>
      <c r="C798" s="6" t="str">
        <f t="shared" si="175"/>
        <v>0105</v>
      </c>
      <c r="D798" s="6" t="s">
        <v>13</v>
      </c>
      <c r="E798" s="6" t="s">
        <v>9</v>
      </c>
      <c r="F798" s="6" t="str">
        <f>"高小猛"</f>
        <v>高小猛</v>
      </c>
      <c r="G798" s="6" t="str">
        <f t="shared" si="185"/>
        <v>女</v>
      </c>
    </row>
    <row r="799" customHeight="1" spans="1:7">
      <c r="A799" s="6">
        <v>797</v>
      </c>
      <c r="B799" s="6" t="str">
        <f>"72072024112620205270777"</f>
        <v>72072024112620205270777</v>
      </c>
      <c r="C799" s="6" t="str">
        <f t="shared" si="175"/>
        <v>0105</v>
      </c>
      <c r="D799" s="6" t="s">
        <v>13</v>
      </c>
      <c r="E799" s="6" t="s">
        <v>9</v>
      </c>
      <c r="F799" s="6" t="str">
        <f>"兰龙芳"</f>
        <v>兰龙芳</v>
      </c>
      <c r="G799" s="6" t="str">
        <f t="shared" si="185"/>
        <v>女</v>
      </c>
    </row>
    <row r="800" customHeight="1" spans="1:7">
      <c r="A800" s="6">
        <v>798</v>
      </c>
      <c r="B800" s="6" t="str">
        <f>"72072024112815114177914"</f>
        <v>72072024112815114177914</v>
      </c>
      <c r="C800" s="6" t="str">
        <f t="shared" si="175"/>
        <v>0105</v>
      </c>
      <c r="D800" s="6" t="s">
        <v>13</v>
      </c>
      <c r="E800" s="6" t="s">
        <v>9</v>
      </c>
      <c r="F800" s="6" t="str">
        <f>"胡英子"</f>
        <v>胡英子</v>
      </c>
      <c r="G800" s="6" t="str">
        <f t="shared" si="185"/>
        <v>女</v>
      </c>
    </row>
    <row r="801" customHeight="1" spans="1:7">
      <c r="A801" s="6">
        <v>799</v>
      </c>
      <c r="B801" s="6" t="str">
        <f>"72072024112213400953142"</f>
        <v>72072024112213400953142</v>
      </c>
      <c r="C801" s="6" t="str">
        <f t="shared" si="175"/>
        <v>0105</v>
      </c>
      <c r="D801" s="6" t="s">
        <v>13</v>
      </c>
      <c r="E801" s="6" t="s">
        <v>9</v>
      </c>
      <c r="F801" s="6" t="str">
        <f>"罗欣欣"</f>
        <v>罗欣欣</v>
      </c>
      <c r="G801" s="6" t="str">
        <f t="shared" si="185"/>
        <v>女</v>
      </c>
    </row>
    <row r="802" customHeight="1" spans="1:7">
      <c r="A802" s="6">
        <v>800</v>
      </c>
      <c r="B802" s="6" t="str">
        <f>"72072024112816561678781"</f>
        <v>72072024112816561678781</v>
      </c>
      <c r="C802" s="6" t="str">
        <f t="shared" si="175"/>
        <v>0105</v>
      </c>
      <c r="D802" s="6" t="s">
        <v>13</v>
      </c>
      <c r="E802" s="6" t="s">
        <v>9</v>
      </c>
      <c r="F802" s="6" t="str">
        <f>"林婧"</f>
        <v>林婧</v>
      </c>
      <c r="G802" s="6" t="str">
        <f t="shared" si="185"/>
        <v>女</v>
      </c>
    </row>
    <row r="803" customHeight="1" spans="1:7">
      <c r="A803" s="6">
        <v>801</v>
      </c>
      <c r="B803" s="6" t="str">
        <f>"72072024112820071180115"</f>
        <v>72072024112820071180115</v>
      </c>
      <c r="C803" s="6" t="str">
        <f t="shared" si="175"/>
        <v>0105</v>
      </c>
      <c r="D803" s="6" t="s">
        <v>13</v>
      </c>
      <c r="E803" s="6" t="s">
        <v>9</v>
      </c>
      <c r="F803" s="6" t="str">
        <f>"韦海帅"</f>
        <v>韦海帅</v>
      </c>
      <c r="G803" s="6" t="str">
        <f t="shared" ref="G803:G807" si="186">"男"</f>
        <v>男</v>
      </c>
    </row>
    <row r="804" customHeight="1" spans="1:7">
      <c r="A804" s="6">
        <v>802</v>
      </c>
      <c r="B804" s="6" t="str">
        <f>"72072024112820335680330"</f>
        <v>72072024112820335680330</v>
      </c>
      <c r="C804" s="6" t="str">
        <f t="shared" ref="C804:C817" si="187">"0105"</f>
        <v>0105</v>
      </c>
      <c r="D804" s="6" t="s">
        <v>13</v>
      </c>
      <c r="E804" s="6" t="s">
        <v>9</v>
      </c>
      <c r="F804" s="6" t="str">
        <f>"符说"</f>
        <v>符说</v>
      </c>
      <c r="G804" s="6" t="str">
        <f t="shared" si="186"/>
        <v>男</v>
      </c>
    </row>
    <row r="805" customHeight="1" spans="1:7">
      <c r="A805" s="6">
        <v>803</v>
      </c>
      <c r="B805" s="6" t="str">
        <f>"72072024112818320679383"</f>
        <v>72072024112818320679383</v>
      </c>
      <c r="C805" s="6" t="str">
        <f t="shared" si="187"/>
        <v>0105</v>
      </c>
      <c r="D805" s="6" t="s">
        <v>13</v>
      </c>
      <c r="E805" s="6" t="s">
        <v>9</v>
      </c>
      <c r="F805" s="6" t="str">
        <f>"张志菊"</f>
        <v>张志菊</v>
      </c>
      <c r="G805" s="6" t="str">
        <f>"女"</f>
        <v>女</v>
      </c>
    </row>
    <row r="806" customHeight="1" spans="1:7">
      <c r="A806" s="6">
        <v>804</v>
      </c>
      <c r="B806" s="6" t="str">
        <f>"72072024112722183075048"</f>
        <v>72072024112722183075048</v>
      </c>
      <c r="C806" s="6" t="str">
        <f t="shared" si="187"/>
        <v>0105</v>
      </c>
      <c r="D806" s="6" t="s">
        <v>13</v>
      </c>
      <c r="E806" s="6" t="s">
        <v>9</v>
      </c>
      <c r="F806" s="6" t="str">
        <f>"苏宁"</f>
        <v>苏宁</v>
      </c>
      <c r="G806" s="6" t="str">
        <f t="shared" si="186"/>
        <v>男</v>
      </c>
    </row>
    <row r="807" customHeight="1" spans="1:7">
      <c r="A807" s="6">
        <v>805</v>
      </c>
      <c r="B807" s="6" t="str">
        <f>"72072024112816365978642"</f>
        <v>72072024112816365978642</v>
      </c>
      <c r="C807" s="6" t="str">
        <f t="shared" si="187"/>
        <v>0105</v>
      </c>
      <c r="D807" s="6" t="s">
        <v>13</v>
      </c>
      <c r="E807" s="6" t="s">
        <v>9</v>
      </c>
      <c r="F807" s="6" t="str">
        <f>"容涛"</f>
        <v>容涛</v>
      </c>
      <c r="G807" s="6" t="str">
        <f t="shared" si="186"/>
        <v>男</v>
      </c>
    </row>
    <row r="808" customHeight="1" spans="1:7">
      <c r="A808" s="6">
        <v>806</v>
      </c>
      <c r="B808" s="6" t="str">
        <f>"72072024112613224369082"</f>
        <v>72072024112613224369082</v>
      </c>
      <c r="C808" s="6" t="str">
        <f t="shared" si="187"/>
        <v>0105</v>
      </c>
      <c r="D808" s="6" t="s">
        <v>13</v>
      </c>
      <c r="E808" s="6" t="s">
        <v>9</v>
      </c>
      <c r="F808" s="6" t="str">
        <f>"文海靓"</f>
        <v>文海靓</v>
      </c>
      <c r="G808" s="6" t="str">
        <f t="shared" ref="G808:G814" si="188">"女"</f>
        <v>女</v>
      </c>
    </row>
    <row r="809" customHeight="1" spans="1:7">
      <c r="A809" s="6">
        <v>807</v>
      </c>
      <c r="B809" s="6" t="str">
        <f>"72072024112908255782261"</f>
        <v>72072024112908255782261</v>
      </c>
      <c r="C809" s="6" t="str">
        <f t="shared" si="187"/>
        <v>0105</v>
      </c>
      <c r="D809" s="6" t="s">
        <v>13</v>
      </c>
      <c r="E809" s="6" t="s">
        <v>9</v>
      </c>
      <c r="F809" s="6" t="str">
        <f>" 何国壮"</f>
        <v> 何国壮</v>
      </c>
      <c r="G809" s="6" t="str">
        <f t="shared" ref="G809:G811" si="189">"男"</f>
        <v>男</v>
      </c>
    </row>
    <row r="810" customHeight="1" spans="1:7">
      <c r="A810" s="6">
        <v>808</v>
      </c>
      <c r="B810" s="6" t="str">
        <f>"72072024112516163664875"</f>
        <v>72072024112516163664875</v>
      </c>
      <c r="C810" s="6" t="str">
        <f t="shared" si="187"/>
        <v>0105</v>
      </c>
      <c r="D810" s="6" t="s">
        <v>13</v>
      </c>
      <c r="E810" s="6" t="s">
        <v>9</v>
      </c>
      <c r="F810" s="6" t="str">
        <f>"李宁"</f>
        <v>李宁</v>
      </c>
      <c r="G810" s="6" t="str">
        <f t="shared" si="189"/>
        <v>男</v>
      </c>
    </row>
    <row r="811" customHeight="1" spans="1:7">
      <c r="A811" s="6">
        <v>809</v>
      </c>
      <c r="B811" s="6" t="str">
        <f>"72072024112902414182023"</f>
        <v>72072024112902414182023</v>
      </c>
      <c r="C811" s="6" t="str">
        <f t="shared" si="187"/>
        <v>0105</v>
      </c>
      <c r="D811" s="6" t="s">
        <v>13</v>
      </c>
      <c r="E811" s="6" t="s">
        <v>9</v>
      </c>
      <c r="F811" s="6" t="str">
        <f>"符小宝"</f>
        <v>符小宝</v>
      </c>
      <c r="G811" s="6" t="str">
        <f t="shared" si="189"/>
        <v>男</v>
      </c>
    </row>
    <row r="812" customHeight="1" spans="1:7">
      <c r="A812" s="6">
        <v>810</v>
      </c>
      <c r="B812" s="6" t="str">
        <f>"72072024112820585880527"</f>
        <v>72072024112820585880527</v>
      </c>
      <c r="C812" s="6" t="str">
        <f t="shared" si="187"/>
        <v>0105</v>
      </c>
      <c r="D812" s="6" t="s">
        <v>13</v>
      </c>
      <c r="E812" s="6" t="s">
        <v>9</v>
      </c>
      <c r="F812" s="6" t="str">
        <f>"陈晓莉"</f>
        <v>陈晓莉</v>
      </c>
      <c r="G812" s="6" t="str">
        <f t="shared" si="188"/>
        <v>女</v>
      </c>
    </row>
    <row r="813" customHeight="1" spans="1:7">
      <c r="A813" s="6">
        <v>811</v>
      </c>
      <c r="B813" s="6" t="str">
        <f>"72072024112909050582653"</f>
        <v>72072024112909050582653</v>
      </c>
      <c r="C813" s="6" t="str">
        <f t="shared" si="187"/>
        <v>0105</v>
      </c>
      <c r="D813" s="6" t="s">
        <v>13</v>
      </c>
      <c r="E813" s="6" t="s">
        <v>9</v>
      </c>
      <c r="F813" s="6" t="str">
        <f>"陈白露"</f>
        <v>陈白露</v>
      </c>
      <c r="G813" s="6" t="str">
        <f t="shared" si="188"/>
        <v>女</v>
      </c>
    </row>
    <row r="814" customHeight="1" spans="1:7">
      <c r="A814" s="6">
        <v>812</v>
      </c>
      <c r="B814" s="6" t="str">
        <f>"72072024112823485181787"</f>
        <v>72072024112823485181787</v>
      </c>
      <c r="C814" s="6" t="str">
        <f t="shared" si="187"/>
        <v>0105</v>
      </c>
      <c r="D814" s="6" t="s">
        <v>13</v>
      </c>
      <c r="E814" s="6" t="s">
        <v>9</v>
      </c>
      <c r="F814" s="6" t="str">
        <f>"董善善"</f>
        <v>董善善</v>
      </c>
      <c r="G814" s="6" t="str">
        <f t="shared" si="188"/>
        <v>女</v>
      </c>
    </row>
    <row r="815" customHeight="1" spans="1:7">
      <c r="A815" s="6">
        <v>813</v>
      </c>
      <c r="B815" s="6" t="str">
        <f>"72072024112909552283615"</f>
        <v>72072024112909552283615</v>
      </c>
      <c r="C815" s="6" t="str">
        <f t="shared" si="187"/>
        <v>0105</v>
      </c>
      <c r="D815" s="6" t="s">
        <v>13</v>
      </c>
      <c r="E815" s="6" t="s">
        <v>9</v>
      </c>
      <c r="F815" s="6" t="str">
        <f>"胡杰"</f>
        <v>胡杰</v>
      </c>
      <c r="G815" s="6" t="str">
        <f t="shared" ref="G815:G818" si="190">"男"</f>
        <v>男</v>
      </c>
    </row>
    <row r="816" customHeight="1" spans="1:7">
      <c r="A816" s="6">
        <v>814</v>
      </c>
      <c r="B816" s="6" t="str">
        <f>"72072024112907450382105"</f>
        <v>72072024112907450382105</v>
      </c>
      <c r="C816" s="6" t="str">
        <f t="shared" si="187"/>
        <v>0105</v>
      </c>
      <c r="D816" s="6" t="s">
        <v>13</v>
      </c>
      <c r="E816" s="6" t="s">
        <v>9</v>
      </c>
      <c r="F816" s="6" t="str">
        <f>"巫小婷"</f>
        <v>巫小婷</v>
      </c>
      <c r="G816" s="6" t="str">
        <f>"女"</f>
        <v>女</v>
      </c>
    </row>
    <row r="817" customHeight="1" spans="1:7">
      <c r="A817" s="6">
        <v>815</v>
      </c>
      <c r="B817" s="6" t="str">
        <f>"72072024112909310683163"</f>
        <v>72072024112909310683163</v>
      </c>
      <c r="C817" s="6" t="str">
        <f t="shared" si="187"/>
        <v>0105</v>
      </c>
      <c r="D817" s="6" t="s">
        <v>13</v>
      </c>
      <c r="E817" s="6" t="s">
        <v>9</v>
      </c>
      <c r="F817" s="6" t="str">
        <f>"李国泰"</f>
        <v>李国泰</v>
      </c>
      <c r="G817" s="6" t="str">
        <f t="shared" si="190"/>
        <v>男</v>
      </c>
    </row>
    <row r="818" customHeight="1" spans="1:7">
      <c r="A818" s="6">
        <v>816</v>
      </c>
      <c r="B818" s="6" t="str">
        <f>"72072024112210162452572"</f>
        <v>72072024112210162452572</v>
      </c>
      <c r="C818" s="6" t="str">
        <f t="shared" ref="C818:C845" si="191">"0106"</f>
        <v>0106</v>
      </c>
      <c r="D818" s="6" t="s">
        <v>14</v>
      </c>
      <c r="E818" s="6" t="s">
        <v>9</v>
      </c>
      <c r="F818" s="6" t="str">
        <f>"李兴成"</f>
        <v>李兴成</v>
      </c>
      <c r="G818" s="6" t="str">
        <f t="shared" si="190"/>
        <v>男</v>
      </c>
    </row>
    <row r="819" customHeight="1" spans="1:7">
      <c r="A819" s="6">
        <v>817</v>
      </c>
      <c r="B819" s="6" t="str">
        <f>"72072024112211055352752"</f>
        <v>72072024112211055352752</v>
      </c>
      <c r="C819" s="6" t="str">
        <f t="shared" si="191"/>
        <v>0106</v>
      </c>
      <c r="D819" s="6" t="s">
        <v>14</v>
      </c>
      <c r="E819" s="6" t="s">
        <v>9</v>
      </c>
      <c r="F819" s="6" t="str">
        <f>"黎琼瑶"</f>
        <v>黎琼瑶</v>
      </c>
      <c r="G819" s="6" t="str">
        <f>"女"</f>
        <v>女</v>
      </c>
    </row>
    <row r="820" customHeight="1" spans="1:7">
      <c r="A820" s="6">
        <v>818</v>
      </c>
      <c r="B820" s="6" t="str">
        <f>"72072024112214571653324"</f>
        <v>72072024112214571653324</v>
      </c>
      <c r="C820" s="6" t="str">
        <f t="shared" si="191"/>
        <v>0106</v>
      </c>
      <c r="D820" s="6" t="s">
        <v>14</v>
      </c>
      <c r="E820" s="6" t="s">
        <v>9</v>
      </c>
      <c r="F820" s="6" t="str">
        <f>"翁生鹏"</f>
        <v>翁生鹏</v>
      </c>
      <c r="G820" s="6" t="str">
        <f t="shared" ref="G820:G824" si="192">"男"</f>
        <v>男</v>
      </c>
    </row>
    <row r="821" customHeight="1" spans="1:7">
      <c r="A821" s="6">
        <v>819</v>
      </c>
      <c r="B821" s="6" t="str">
        <f>"72072024112213040253056"</f>
        <v>72072024112213040253056</v>
      </c>
      <c r="C821" s="6" t="str">
        <f t="shared" si="191"/>
        <v>0106</v>
      </c>
      <c r="D821" s="6" t="s">
        <v>14</v>
      </c>
      <c r="E821" s="6" t="s">
        <v>9</v>
      </c>
      <c r="F821" s="6" t="str">
        <f>"黄亚星"</f>
        <v>黄亚星</v>
      </c>
      <c r="G821" s="6" t="str">
        <f t="shared" si="192"/>
        <v>男</v>
      </c>
    </row>
    <row r="822" customHeight="1" spans="1:7">
      <c r="A822" s="6">
        <v>820</v>
      </c>
      <c r="B822" s="6" t="str">
        <f>"72072024112301441154722"</f>
        <v>72072024112301441154722</v>
      </c>
      <c r="C822" s="6" t="str">
        <f t="shared" si="191"/>
        <v>0106</v>
      </c>
      <c r="D822" s="6" t="s">
        <v>14</v>
      </c>
      <c r="E822" s="6" t="s">
        <v>9</v>
      </c>
      <c r="F822" s="6" t="str">
        <f>"黄泽欣"</f>
        <v>黄泽欣</v>
      </c>
      <c r="G822" s="6" t="str">
        <f t="shared" ref="G822:G826" si="193">"女"</f>
        <v>女</v>
      </c>
    </row>
    <row r="823" customHeight="1" spans="1:7">
      <c r="A823" s="6">
        <v>821</v>
      </c>
      <c r="B823" s="6" t="str">
        <f>"72072024112216444053717"</f>
        <v>72072024112216444053717</v>
      </c>
      <c r="C823" s="6" t="str">
        <f t="shared" si="191"/>
        <v>0106</v>
      </c>
      <c r="D823" s="6" t="s">
        <v>14</v>
      </c>
      <c r="E823" s="6" t="s">
        <v>9</v>
      </c>
      <c r="F823" s="6" t="str">
        <f>"蔡佳卫"</f>
        <v>蔡佳卫</v>
      </c>
      <c r="G823" s="6" t="str">
        <f t="shared" si="192"/>
        <v>男</v>
      </c>
    </row>
    <row r="824" customHeight="1" spans="1:7">
      <c r="A824" s="6">
        <v>822</v>
      </c>
      <c r="B824" s="6" t="str">
        <f>"72072024112509272160170"</f>
        <v>72072024112509272160170</v>
      </c>
      <c r="C824" s="6" t="str">
        <f t="shared" si="191"/>
        <v>0106</v>
      </c>
      <c r="D824" s="6" t="s">
        <v>14</v>
      </c>
      <c r="E824" s="6" t="s">
        <v>9</v>
      </c>
      <c r="F824" s="6" t="str">
        <f>"邓帆"</f>
        <v>邓帆</v>
      </c>
      <c r="G824" s="6" t="str">
        <f t="shared" si="192"/>
        <v>男</v>
      </c>
    </row>
    <row r="825" customHeight="1" spans="1:7">
      <c r="A825" s="6">
        <v>823</v>
      </c>
      <c r="B825" s="6" t="str">
        <f>"72072024112511030661669"</f>
        <v>72072024112511030661669</v>
      </c>
      <c r="C825" s="6" t="str">
        <f t="shared" si="191"/>
        <v>0106</v>
      </c>
      <c r="D825" s="6" t="s">
        <v>14</v>
      </c>
      <c r="E825" s="6" t="s">
        <v>9</v>
      </c>
      <c r="F825" s="6" t="str">
        <f>"潘少俐"</f>
        <v>潘少俐</v>
      </c>
      <c r="G825" s="6" t="str">
        <f t="shared" si="193"/>
        <v>女</v>
      </c>
    </row>
    <row r="826" customHeight="1" spans="1:7">
      <c r="A826" s="6">
        <v>824</v>
      </c>
      <c r="B826" s="6" t="str">
        <f>"72072024112519560566116"</f>
        <v>72072024112519560566116</v>
      </c>
      <c r="C826" s="6" t="str">
        <f t="shared" si="191"/>
        <v>0106</v>
      </c>
      <c r="D826" s="6" t="s">
        <v>14</v>
      </c>
      <c r="E826" s="6" t="s">
        <v>9</v>
      </c>
      <c r="F826" s="6" t="str">
        <f>"蕉丽珍"</f>
        <v>蕉丽珍</v>
      </c>
      <c r="G826" s="6" t="str">
        <f t="shared" si="193"/>
        <v>女</v>
      </c>
    </row>
    <row r="827" customHeight="1" spans="1:7">
      <c r="A827" s="6">
        <v>825</v>
      </c>
      <c r="B827" s="6" t="str">
        <f>"72072024112412185057263"</f>
        <v>72072024112412185057263</v>
      </c>
      <c r="C827" s="6" t="str">
        <f t="shared" si="191"/>
        <v>0106</v>
      </c>
      <c r="D827" s="6" t="s">
        <v>14</v>
      </c>
      <c r="E827" s="6" t="s">
        <v>9</v>
      </c>
      <c r="F827" s="6" t="str">
        <f>"苏才华"</f>
        <v>苏才华</v>
      </c>
      <c r="G827" s="6" t="str">
        <f>"男"</f>
        <v>男</v>
      </c>
    </row>
    <row r="828" customHeight="1" spans="1:7">
      <c r="A828" s="6">
        <v>826</v>
      </c>
      <c r="B828" s="6" t="str">
        <f>"72072024112521202866524"</f>
        <v>72072024112521202866524</v>
      </c>
      <c r="C828" s="6" t="str">
        <f t="shared" si="191"/>
        <v>0106</v>
      </c>
      <c r="D828" s="6" t="s">
        <v>14</v>
      </c>
      <c r="E828" s="6" t="s">
        <v>9</v>
      </c>
      <c r="F828" s="6" t="str">
        <f>"王达萍"</f>
        <v>王达萍</v>
      </c>
      <c r="G828" s="6" t="str">
        <f t="shared" ref="G828:G832" si="194">"女"</f>
        <v>女</v>
      </c>
    </row>
    <row r="829" customHeight="1" spans="1:7">
      <c r="A829" s="6">
        <v>827</v>
      </c>
      <c r="B829" s="6" t="str">
        <f>"72072024112522014366695"</f>
        <v>72072024112522014366695</v>
      </c>
      <c r="C829" s="6" t="str">
        <f t="shared" si="191"/>
        <v>0106</v>
      </c>
      <c r="D829" s="6" t="s">
        <v>14</v>
      </c>
      <c r="E829" s="6" t="s">
        <v>9</v>
      </c>
      <c r="F829" s="6" t="str">
        <f>"高雨飘"</f>
        <v>高雨飘</v>
      </c>
      <c r="G829" s="6" t="str">
        <f t="shared" si="194"/>
        <v>女</v>
      </c>
    </row>
    <row r="830" customHeight="1" spans="1:7">
      <c r="A830" s="6">
        <v>828</v>
      </c>
      <c r="B830" s="6" t="str">
        <f>"72072024112520465166365"</f>
        <v>72072024112520465166365</v>
      </c>
      <c r="C830" s="6" t="str">
        <f t="shared" si="191"/>
        <v>0106</v>
      </c>
      <c r="D830" s="6" t="s">
        <v>14</v>
      </c>
      <c r="E830" s="6" t="s">
        <v>9</v>
      </c>
      <c r="F830" s="6" t="str">
        <f>"常琳"</f>
        <v>常琳</v>
      </c>
      <c r="G830" s="6" t="str">
        <f t="shared" si="194"/>
        <v>女</v>
      </c>
    </row>
    <row r="831" customHeight="1" spans="1:7">
      <c r="A831" s="6">
        <v>829</v>
      </c>
      <c r="B831" s="6" t="str">
        <f>"72072024112608313667584"</f>
        <v>72072024112608313667584</v>
      </c>
      <c r="C831" s="6" t="str">
        <f t="shared" si="191"/>
        <v>0106</v>
      </c>
      <c r="D831" s="6" t="s">
        <v>14</v>
      </c>
      <c r="E831" s="6" t="s">
        <v>9</v>
      </c>
      <c r="F831" s="6" t="str">
        <f>"张嵩"</f>
        <v>张嵩</v>
      </c>
      <c r="G831" s="6" t="str">
        <f t="shared" si="194"/>
        <v>女</v>
      </c>
    </row>
    <row r="832" customHeight="1" spans="1:7">
      <c r="A832" s="6">
        <v>830</v>
      </c>
      <c r="B832" s="6" t="str">
        <f>"72072024112609105267796"</f>
        <v>72072024112609105267796</v>
      </c>
      <c r="C832" s="6" t="str">
        <f t="shared" si="191"/>
        <v>0106</v>
      </c>
      <c r="D832" s="6" t="s">
        <v>14</v>
      </c>
      <c r="E832" s="6" t="s">
        <v>9</v>
      </c>
      <c r="F832" s="6" t="str">
        <f>"王人晶"</f>
        <v>王人晶</v>
      </c>
      <c r="G832" s="6" t="str">
        <f t="shared" si="194"/>
        <v>女</v>
      </c>
    </row>
    <row r="833" customHeight="1" spans="1:7">
      <c r="A833" s="6">
        <v>831</v>
      </c>
      <c r="B833" s="6" t="str">
        <f>"72072024112210594452733"</f>
        <v>72072024112210594452733</v>
      </c>
      <c r="C833" s="6" t="str">
        <f t="shared" si="191"/>
        <v>0106</v>
      </c>
      <c r="D833" s="6" t="s">
        <v>14</v>
      </c>
      <c r="E833" s="6" t="s">
        <v>9</v>
      </c>
      <c r="F833" s="6" t="str">
        <f>"陈雷雷"</f>
        <v>陈雷雷</v>
      </c>
      <c r="G833" s="6" t="str">
        <f>"男"</f>
        <v>男</v>
      </c>
    </row>
    <row r="834" customHeight="1" spans="1:7">
      <c r="A834" s="6">
        <v>832</v>
      </c>
      <c r="B834" s="6" t="str">
        <f>"72072024112523243566975"</f>
        <v>72072024112523243566975</v>
      </c>
      <c r="C834" s="6" t="str">
        <f t="shared" si="191"/>
        <v>0106</v>
      </c>
      <c r="D834" s="6" t="s">
        <v>14</v>
      </c>
      <c r="E834" s="6" t="s">
        <v>9</v>
      </c>
      <c r="F834" s="6" t="str">
        <f>"秦金梅"</f>
        <v>秦金梅</v>
      </c>
      <c r="G834" s="6" t="str">
        <f t="shared" ref="G834:G838" si="195">"女"</f>
        <v>女</v>
      </c>
    </row>
    <row r="835" customHeight="1" spans="1:7">
      <c r="A835" s="6">
        <v>833</v>
      </c>
      <c r="B835" s="6" t="str">
        <f>"72072024112220543954360"</f>
        <v>72072024112220543954360</v>
      </c>
      <c r="C835" s="6" t="str">
        <f t="shared" si="191"/>
        <v>0106</v>
      </c>
      <c r="D835" s="6" t="s">
        <v>14</v>
      </c>
      <c r="E835" s="6" t="s">
        <v>9</v>
      </c>
      <c r="F835" s="6" t="str">
        <f>"樊鹏超"</f>
        <v>樊鹏超</v>
      </c>
      <c r="G835" s="6" t="str">
        <f>"男"</f>
        <v>男</v>
      </c>
    </row>
    <row r="836" customHeight="1" spans="1:7">
      <c r="A836" s="6">
        <v>834</v>
      </c>
      <c r="B836" s="6" t="str">
        <f>"72072024112712572572803"</f>
        <v>72072024112712572572803</v>
      </c>
      <c r="C836" s="6" t="str">
        <f t="shared" si="191"/>
        <v>0106</v>
      </c>
      <c r="D836" s="6" t="s">
        <v>14</v>
      </c>
      <c r="E836" s="6" t="s">
        <v>9</v>
      </c>
      <c r="F836" s="6" t="str">
        <f>"张琳"</f>
        <v>张琳</v>
      </c>
      <c r="G836" s="6" t="str">
        <f t="shared" si="195"/>
        <v>女</v>
      </c>
    </row>
    <row r="837" customHeight="1" spans="1:7">
      <c r="A837" s="6">
        <v>835</v>
      </c>
      <c r="B837" s="6" t="str">
        <f>"72072024112719492574454"</f>
        <v>72072024112719492574454</v>
      </c>
      <c r="C837" s="6" t="str">
        <f t="shared" si="191"/>
        <v>0106</v>
      </c>
      <c r="D837" s="6" t="s">
        <v>14</v>
      </c>
      <c r="E837" s="6" t="s">
        <v>9</v>
      </c>
      <c r="F837" s="6" t="str">
        <f>"李文馨"</f>
        <v>李文馨</v>
      </c>
      <c r="G837" s="6" t="str">
        <f t="shared" si="195"/>
        <v>女</v>
      </c>
    </row>
    <row r="838" customHeight="1" spans="1:7">
      <c r="A838" s="6">
        <v>836</v>
      </c>
      <c r="B838" s="6" t="str">
        <f>"72072024112715191273365"</f>
        <v>72072024112715191273365</v>
      </c>
      <c r="C838" s="6" t="str">
        <f t="shared" si="191"/>
        <v>0106</v>
      </c>
      <c r="D838" s="6" t="s">
        <v>14</v>
      </c>
      <c r="E838" s="6" t="s">
        <v>9</v>
      </c>
      <c r="F838" s="6" t="str">
        <f>"杨宇"</f>
        <v>杨宇</v>
      </c>
      <c r="G838" s="6" t="str">
        <f t="shared" si="195"/>
        <v>女</v>
      </c>
    </row>
    <row r="839" customHeight="1" spans="1:7">
      <c r="A839" s="6">
        <v>837</v>
      </c>
      <c r="B839" s="6" t="str">
        <f>"72072024112811342176747"</f>
        <v>72072024112811342176747</v>
      </c>
      <c r="C839" s="6" t="str">
        <f t="shared" si="191"/>
        <v>0106</v>
      </c>
      <c r="D839" s="6" t="s">
        <v>14</v>
      </c>
      <c r="E839" s="6" t="s">
        <v>9</v>
      </c>
      <c r="F839" s="6" t="str">
        <f>"林比"</f>
        <v>林比</v>
      </c>
      <c r="G839" s="6" t="str">
        <f>"男"</f>
        <v>男</v>
      </c>
    </row>
    <row r="840" customHeight="1" spans="1:7">
      <c r="A840" s="6">
        <v>838</v>
      </c>
      <c r="B840" s="6" t="str">
        <f>"72072024112816244778550"</f>
        <v>72072024112816244778550</v>
      </c>
      <c r="C840" s="6" t="str">
        <f t="shared" si="191"/>
        <v>0106</v>
      </c>
      <c r="D840" s="6" t="s">
        <v>14</v>
      </c>
      <c r="E840" s="6" t="s">
        <v>9</v>
      </c>
      <c r="F840" s="6" t="str">
        <f>"马竹青"</f>
        <v>马竹青</v>
      </c>
      <c r="G840" s="6" t="str">
        <f t="shared" ref="G840:G843" si="196">"女"</f>
        <v>女</v>
      </c>
    </row>
    <row r="841" customHeight="1" spans="1:7">
      <c r="A841" s="6">
        <v>839</v>
      </c>
      <c r="B841" s="6" t="str">
        <f>"72072024112823274481688"</f>
        <v>72072024112823274481688</v>
      </c>
      <c r="C841" s="6" t="str">
        <f t="shared" si="191"/>
        <v>0106</v>
      </c>
      <c r="D841" s="6" t="s">
        <v>14</v>
      </c>
      <c r="E841" s="6" t="s">
        <v>9</v>
      </c>
      <c r="F841" s="6" t="str">
        <f>"符碧南"</f>
        <v>符碧南</v>
      </c>
      <c r="G841" s="6" t="str">
        <f t="shared" si="196"/>
        <v>女</v>
      </c>
    </row>
    <row r="842" customHeight="1" spans="1:7">
      <c r="A842" s="6">
        <v>840</v>
      </c>
      <c r="B842" s="6" t="str">
        <f>"72072024112817015278822"</f>
        <v>72072024112817015278822</v>
      </c>
      <c r="C842" s="6" t="str">
        <f t="shared" si="191"/>
        <v>0106</v>
      </c>
      <c r="D842" s="6" t="s">
        <v>14</v>
      </c>
      <c r="E842" s="6" t="s">
        <v>9</v>
      </c>
      <c r="F842" s="6" t="str">
        <f>"符玉凤"</f>
        <v>符玉凤</v>
      </c>
      <c r="G842" s="6" t="str">
        <f t="shared" si="196"/>
        <v>女</v>
      </c>
    </row>
    <row r="843" customHeight="1" spans="1:7">
      <c r="A843" s="6">
        <v>841</v>
      </c>
      <c r="B843" s="6" t="str">
        <f>"72072024112910444584427"</f>
        <v>72072024112910444584427</v>
      </c>
      <c r="C843" s="6" t="str">
        <f t="shared" si="191"/>
        <v>0106</v>
      </c>
      <c r="D843" s="6" t="s">
        <v>14</v>
      </c>
      <c r="E843" s="6" t="s">
        <v>9</v>
      </c>
      <c r="F843" s="6" t="str">
        <f>"周绍兰"</f>
        <v>周绍兰</v>
      </c>
      <c r="G843" s="6" t="str">
        <f t="shared" si="196"/>
        <v>女</v>
      </c>
    </row>
    <row r="844" customHeight="1" spans="1:7">
      <c r="A844" s="6">
        <v>842</v>
      </c>
      <c r="B844" s="6" t="str">
        <f>"72072024112911074684792"</f>
        <v>72072024112911074684792</v>
      </c>
      <c r="C844" s="6" t="str">
        <f t="shared" si="191"/>
        <v>0106</v>
      </c>
      <c r="D844" s="6" t="s">
        <v>14</v>
      </c>
      <c r="E844" s="6" t="s">
        <v>9</v>
      </c>
      <c r="F844" s="6" t="str">
        <f>"陈川翔"</f>
        <v>陈川翔</v>
      </c>
      <c r="G844" s="6" t="str">
        <f>"男"</f>
        <v>男</v>
      </c>
    </row>
    <row r="845" customHeight="1" spans="1:7">
      <c r="A845" s="6">
        <v>843</v>
      </c>
      <c r="B845" s="6" t="str">
        <f>"72072024112902422982026"</f>
        <v>72072024112902422982026</v>
      </c>
      <c r="C845" s="6" t="str">
        <f t="shared" si="191"/>
        <v>0106</v>
      </c>
      <c r="D845" s="6" t="s">
        <v>14</v>
      </c>
      <c r="E845" s="6" t="s">
        <v>9</v>
      </c>
      <c r="F845" s="6" t="str">
        <f>"郭贵强"</f>
        <v>郭贵强</v>
      </c>
      <c r="G845" s="6" t="str">
        <f>"女"</f>
        <v>女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南海网人力资源</cp:lastModifiedBy>
  <dcterms:created xsi:type="dcterms:W3CDTF">2024-12-02T06:54:00Z</dcterms:created>
  <dcterms:modified xsi:type="dcterms:W3CDTF">2025-02-19T03:12:27Z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B8F7BE27934A4AE4AF79C9E393AF9D5C_13</vt:lpwstr>
  </property>
  <property fmtid="{D5CDD505-2E9C-101B-9397-08002B2CF9AE}" pid="3" name="KSOProductBuildVer">
    <vt:lpwstr>2052-12.1.0.19770</vt:lpwstr>
  </property>
</Properties>
</file>