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8" windowHeight="8340"/>
  </bookViews>
  <sheets>
    <sheet name="资格初审合格确认笔试人员名单" sheetId="1" r:id="rId1"/>
  </sheets>
  <definedNames>
    <definedName name="_xlnm._FilterDatabase" localSheetId="0" hidden="1">资格初审合格确认笔试人员名单!$B$2:$G$4833</definedName>
  </definedNames>
  <calcPr calcId="144525"/>
</workbook>
</file>

<file path=xl/sharedStrings.xml><?xml version="1.0" encoding="utf-8"?>
<sst xmlns="http://schemas.openxmlformats.org/spreadsheetml/2006/main" count="14502" uniqueCount="3827">
  <si>
    <t>三亚市崖州区2026年面向社会公开招聘事业单位工作人员(含教师)参加笔试确认人员名单</t>
  </si>
  <si>
    <t>序号</t>
  </si>
  <si>
    <t>岗位代码</t>
  </si>
  <si>
    <t>岗位名称</t>
  </si>
  <si>
    <t>招聘单位</t>
  </si>
  <si>
    <t>姓名</t>
  </si>
  <si>
    <t>性别</t>
  </si>
  <si>
    <t>身份证号码</t>
  </si>
  <si>
    <t>九级管理岗1</t>
  </si>
  <si>
    <t>三亚市崖州区人才发展服务中心</t>
  </si>
  <si>
    <t>4602**********4440</t>
  </si>
  <si>
    <t>3411**********6251</t>
  </si>
  <si>
    <t>4601**********0346</t>
  </si>
  <si>
    <t>4600**********5778</t>
  </si>
  <si>
    <t>4600**********2523</t>
  </si>
  <si>
    <t>4600**********0012</t>
  </si>
  <si>
    <t>1401**********0028</t>
  </si>
  <si>
    <t>2301**********5320</t>
  </si>
  <si>
    <t>4600**********285X</t>
  </si>
  <si>
    <t>4600**********5105</t>
  </si>
  <si>
    <t>4600**********4483</t>
  </si>
  <si>
    <t>4600**********3334</t>
  </si>
  <si>
    <t>4600**********4812</t>
  </si>
  <si>
    <t>4600**********1822</t>
  </si>
  <si>
    <t>4600**********0016</t>
  </si>
  <si>
    <t>1521**********2139</t>
  </si>
  <si>
    <t>4601**********301X</t>
  </si>
  <si>
    <t>4602**********5333</t>
  </si>
  <si>
    <t>4602**********1421</t>
  </si>
  <si>
    <t>4600**********0826</t>
  </si>
  <si>
    <t>4602**********5143</t>
  </si>
  <si>
    <t>1523**********0667</t>
  </si>
  <si>
    <t>4602**********1689</t>
  </si>
  <si>
    <t>4103**********5515</t>
  </si>
  <si>
    <t>4602**********3870</t>
  </si>
  <si>
    <t>5330**********0047</t>
  </si>
  <si>
    <t>4600**********0034</t>
  </si>
  <si>
    <t>4600**********2925</t>
  </si>
  <si>
    <t>4602**********5342</t>
  </si>
  <si>
    <t>4600**********2343</t>
  </si>
  <si>
    <t>4600**********4780</t>
  </si>
  <si>
    <t>1402**********0043</t>
  </si>
  <si>
    <t>4600**********523X</t>
  </si>
  <si>
    <t>4602**********0024</t>
  </si>
  <si>
    <t>4600**********4516</t>
  </si>
  <si>
    <t>4600**********3434</t>
  </si>
  <si>
    <t>4600**********662X</t>
  </si>
  <si>
    <t>3503**********2028</t>
  </si>
  <si>
    <t>4600**********5001</t>
  </si>
  <si>
    <t>4115**********2336</t>
  </si>
  <si>
    <t>4600**********1612</t>
  </si>
  <si>
    <t>2111**********3223</t>
  </si>
  <si>
    <t>3706**********1026</t>
  </si>
  <si>
    <t>4408**********0331</t>
  </si>
  <si>
    <t>2205**********4224</t>
  </si>
  <si>
    <t>4600**********402X</t>
  </si>
  <si>
    <t>6222**********2121</t>
  </si>
  <si>
    <t>3408**********0842</t>
  </si>
  <si>
    <t>4600**********4867</t>
  </si>
  <si>
    <t>3416**********1543</t>
  </si>
  <si>
    <t>4602**********5125</t>
  </si>
  <si>
    <t>1426**********3044</t>
  </si>
  <si>
    <t>4601**********1219</t>
  </si>
  <si>
    <t>4690**********2713</t>
  </si>
  <si>
    <t>3209**********5324</t>
  </si>
  <si>
    <t>4600**********5223</t>
  </si>
  <si>
    <t>4601**********3027</t>
  </si>
  <si>
    <t>4602**********3340</t>
  </si>
  <si>
    <t>4600**********5817</t>
  </si>
  <si>
    <t>4602**********4691</t>
  </si>
  <si>
    <t>3603**********1515</t>
  </si>
  <si>
    <t>4325**********0013</t>
  </si>
  <si>
    <t>4600**********4625</t>
  </si>
  <si>
    <t>4602**********3377</t>
  </si>
  <si>
    <t>4600**********3022</t>
  </si>
  <si>
    <t>4304**********5672</t>
  </si>
  <si>
    <t>4600**********3226</t>
  </si>
  <si>
    <t>4413**********0322</t>
  </si>
  <si>
    <t>2203**********7225</t>
  </si>
  <si>
    <t>4602**********5348</t>
  </si>
  <si>
    <t>4600**********0213</t>
  </si>
  <si>
    <t>4600**********2968</t>
  </si>
  <si>
    <t>4331**********9023</t>
  </si>
  <si>
    <t>4690**********6124</t>
  </si>
  <si>
    <t>4600**********3230</t>
  </si>
  <si>
    <t>4408**********1121</t>
  </si>
  <si>
    <t>4600**********2411</t>
  </si>
  <si>
    <t>4600**********5920</t>
  </si>
  <si>
    <t>3708**********3231</t>
  </si>
  <si>
    <t>4600**********3883</t>
  </si>
  <si>
    <t>1501**********4621</t>
  </si>
  <si>
    <t>5117**********0263</t>
  </si>
  <si>
    <t>4601**********1515</t>
  </si>
  <si>
    <t>4600**********7220</t>
  </si>
  <si>
    <t>4600**********5617</t>
  </si>
  <si>
    <t>3607**********1717</t>
  </si>
  <si>
    <t>4600**********7750</t>
  </si>
  <si>
    <t>4690**********6414</t>
  </si>
  <si>
    <t>4600**********4853</t>
  </si>
  <si>
    <t>3705**********2043</t>
  </si>
  <si>
    <t>4600**********3916</t>
  </si>
  <si>
    <t>4600**********5321</t>
  </si>
  <si>
    <t>1411**********0026</t>
  </si>
  <si>
    <t>4602**********4703</t>
  </si>
  <si>
    <t>4602**********3165</t>
  </si>
  <si>
    <t>1305**********0643</t>
  </si>
  <si>
    <t>4602**********4722</t>
  </si>
  <si>
    <t>4305**********361X</t>
  </si>
  <si>
    <t>3412**********3125</t>
  </si>
  <si>
    <t>4602**********2725</t>
  </si>
  <si>
    <t>4600**********0522</t>
  </si>
  <si>
    <t>4602**********4456</t>
  </si>
  <si>
    <t>4600**********6839</t>
  </si>
  <si>
    <t>3505**********5526</t>
  </si>
  <si>
    <t>4600**********7026</t>
  </si>
  <si>
    <t>4600**********4428</t>
  </si>
  <si>
    <t>4600**********4410</t>
  </si>
  <si>
    <t>4601**********0621</t>
  </si>
  <si>
    <t>4600**********3218</t>
  </si>
  <si>
    <t>4600**********0618</t>
  </si>
  <si>
    <t>4600**********0612</t>
  </si>
  <si>
    <t>4600**********7217</t>
  </si>
  <si>
    <t>4601**********0013</t>
  </si>
  <si>
    <t>4601**********1516</t>
  </si>
  <si>
    <t>4600**********2819</t>
  </si>
  <si>
    <t>2310**********0529</t>
  </si>
  <si>
    <t>4602**********4255</t>
  </si>
  <si>
    <t>3701**********6847</t>
  </si>
  <si>
    <t>4600**********2416</t>
  </si>
  <si>
    <t>2206**********2425</t>
  </si>
  <si>
    <t>4600**********4018</t>
  </si>
  <si>
    <t>4600**********3441</t>
  </si>
  <si>
    <t>4602**********0022</t>
  </si>
  <si>
    <t>4690**********6626</t>
  </si>
  <si>
    <t>4301**********004X</t>
  </si>
  <si>
    <t>4600**********5727</t>
  </si>
  <si>
    <t>3711**********2918</t>
  </si>
  <si>
    <t>4301**********0799</t>
  </si>
  <si>
    <t>4600**********1013</t>
  </si>
  <si>
    <t>4602**********5516</t>
  </si>
  <si>
    <t>5330**********1021</t>
  </si>
  <si>
    <t>4211**********0826</t>
  </si>
  <si>
    <t>4602**********0030</t>
  </si>
  <si>
    <t>4600**********3312</t>
  </si>
  <si>
    <t>4303**********2560</t>
  </si>
  <si>
    <t>4600**********0821</t>
  </si>
  <si>
    <t>4600**********4236</t>
  </si>
  <si>
    <t>4600**********0026</t>
  </si>
  <si>
    <t>3729**********4460</t>
  </si>
  <si>
    <t>4600**********4815</t>
  </si>
  <si>
    <t>2305**********1966</t>
  </si>
  <si>
    <t>4690**********3329</t>
  </si>
  <si>
    <t>4600**********4911</t>
  </si>
  <si>
    <t>4600**********2020</t>
  </si>
  <si>
    <t>4601**********3022</t>
  </si>
  <si>
    <t>4600**********3050</t>
  </si>
  <si>
    <t>5221**********1912</t>
  </si>
  <si>
    <t>4600**********7261</t>
  </si>
  <si>
    <t>4602**********0040</t>
  </si>
  <si>
    <t>4128**********3142</t>
  </si>
  <si>
    <t>5201**********006X</t>
  </si>
  <si>
    <t>4600**********3929</t>
  </si>
  <si>
    <t>4690**********6823</t>
  </si>
  <si>
    <t>4600**********2410</t>
  </si>
  <si>
    <t>4600**********5070</t>
  </si>
  <si>
    <t>3622**********1022</t>
  </si>
  <si>
    <t>2303**********5621</t>
  </si>
  <si>
    <t>4600**********8725</t>
  </si>
  <si>
    <t>4600**********4440</t>
  </si>
  <si>
    <t>4602**********4925</t>
  </si>
  <si>
    <t>4602**********0289</t>
  </si>
  <si>
    <t>2103**********2325</t>
  </si>
  <si>
    <t>4600**********5228</t>
  </si>
  <si>
    <t>4690**********5913</t>
  </si>
  <si>
    <t>4602**********0028</t>
  </si>
  <si>
    <t>4600**********4813</t>
  </si>
  <si>
    <t>4602**********3152</t>
  </si>
  <si>
    <t>4690**********3621</t>
  </si>
  <si>
    <t>4602**********1674</t>
  </si>
  <si>
    <t>4108**********2525</t>
  </si>
  <si>
    <t>4602**********3823</t>
  </si>
  <si>
    <t>1302**********0023</t>
  </si>
  <si>
    <t>2202**********2625</t>
  </si>
  <si>
    <t>4600**********284X</t>
  </si>
  <si>
    <t>4600**********622X</t>
  </si>
  <si>
    <t>4602**********4437</t>
  </si>
  <si>
    <t>4304**********910X</t>
  </si>
  <si>
    <t>3622**********0525</t>
  </si>
  <si>
    <t>3408**********4360</t>
  </si>
  <si>
    <t>4600**********5823</t>
  </si>
  <si>
    <t>4600**********0425</t>
  </si>
  <si>
    <t>4600**********2428</t>
  </si>
  <si>
    <t>4600**********0032</t>
  </si>
  <si>
    <t>4600**********001X</t>
  </si>
  <si>
    <t>4600**********4122</t>
  </si>
  <si>
    <t>4602**********4462</t>
  </si>
  <si>
    <t>4600**********4842</t>
  </si>
  <si>
    <t>4600**********5364</t>
  </si>
  <si>
    <t>4602**********0989</t>
  </si>
  <si>
    <t>4600**********2659</t>
  </si>
  <si>
    <t>4600**********0421</t>
  </si>
  <si>
    <t>5001**********9165</t>
  </si>
  <si>
    <t>2302**********2925</t>
  </si>
  <si>
    <t>4600**********5828</t>
  </si>
  <si>
    <t>2302**********1220</t>
  </si>
  <si>
    <t>2201**********1220</t>
  </si>
  <si>
    <t>5109**********8123</t>
  </si>
  <si>
    <t>2103**********232X</t>
  </si>
  <si>
    <t>3707**********0712</t>
  </si>
  <si>
    <t>4600**********5227</t>
  </si>
  <si>
    <t>4690**********7627</t>
  </si>
  <si>
    <t>4600**********1778</t>
  </si>
  <si>
    <t>2301**********0023</t>
  </si>
  <si>
    <t>4602**********2497</t>
  </si>
  <si>
    <t>4600**********2120</t>
  </si>
  <si>
    <t>4105**********5047</t>
  </si>
  <si>
    <t>4602**********272X</t>
  </si>
  <si>
    <t>2208**********0042</t>
  </si>
  <si>
    <t>2303**********1024</t>
  </si>
  <si>
    <t>4113**********0019</t>
  </si>
  <si>
    <t>4600**********2669</t>
  </si>
  <si>
    <t>2201**********0015</t>
  </si>
  <si>
    <t>4602**********4450</t>
  </si>
  <si>
    <t>4600**********3875</t>
  </si>
  <si>
    <t>4602**********0279</t>
  </si>
  <si>
    <t>4600**********0436</t>
  </si>
  <si>
    <t>4509**********1546</t>
  </si>
  <si>
    <t>4103**********0021</t>
  </si>
  <si>
    <t>2310**********001X</t>
  </si>
  <si>
    <t>4600**********4629</t>
  </si>
  <si>
    <t>4600**********3281</t>
  </si>
  <si>
    <t>4690**********4968</t>
  </si>
  <si>
    <t>4600**********5127</t>
  </si>
  <si>
    <t>4600**********0611</t>
  </si>
  <si>
    <t>4206**********8083</t>
  </si>
  <si>
    <t>4602**********0021</t>
  </si>
  <si>
    <t>4690**********6418</t>
  </si>
  <si>
    <t>4601**********1255</t>
  </si>
  <si>
    <t>4600**********2423</t>
  </si>
  <si>
    <t>4602**********4433</t>
  </si>
  <si>
    <t>4602**********4705</t>
  </si>
  <si>
    <t>2301**********0719</t>
  </si>
  <si>
    <t>3411**********363X</t>
  </si>
  <si>
    <t>3708**********9522</t>
  </si>
  <si>
    <t>2204**********0367</t>
  </si>
  <si>
    <t>4601**********1828</t>
  </si>
  <si>
    <t>4600**********2028</t>
  </si>
  <si>
    <t>4108**********7573</t>
  </si>
  <si>
    <t>4600**********002X</t>
  </si>
  <si>
    <t>4600**********3115</t>
  </si>
  <si>
    <t>4600**********461X</t>
  </si>
  <si>
    <t>4600**********0017</t>
  </si>
  <si>
    <t>4602**********4502</t>
  </si>
  <si>
    <t>4107**********9527</t>
  </si>
  <si>
    <t>4306**********0072</t>
  </si>
  <si>
    <t>2308**********0951</t>
  </si>
  <si>
    <t>4602**********472X</t>
  </si>
  <si>
    <t>4600**********4855</t>
  </si>
  <si>
    <t>3704**********6020</t>
  </si>
  <si>
    <t>4127**********314X</t>
  </si>
  <si>
    <t>1509**********8414</t>
  </si>
  <si>
    <t>4600**********4966</t>
  </si>
  <si>
    <t>4602**********0025</t>
  </si>
  <si>
    <t>3701**********3828</t>
  </si>
  <si>
    <t>2306**********0567</t>
  </si>
  <si>
    <t>4127**********0042</t>
  </si>
  <si>
    <t>4307**********4022</t>
  </si>
  <si>
    <t>4602**********0777</t>
  </si>
  <si>
    <t>1521**********0324</t>
  </si>
  <si>
    <t>4600**********3065</t>
  </si>
  <si>
    <t>3406**********0226</t>
  </si>
  <si>
    <t>4602**********3339</t>
  </si>
  <si>
    <t>4600**********3743</t>
  </si>
  <si>
    <t>3712**********1536</t>
  </si>
  <si>
    <t>2306**********2550</t>
  </si>
  <si>
    <t>2309**********1227</t>
  </si>
  <si>
    <t>4600**********2945</t>
  </si>
  <si>
    <t>4206**********4521</t>
  </si>
  <si>
    <t>4600**********0018</t>
  </si>
  <si>
    <t>3703**********4919</t>
  </si>
  <si>
    <t>4600**********7646</t>
  </si>
  <si>
    <t>4600**********8013</t>
  </si>
  <si>
    <t>4602**********3824</t>
  </si>
  <si>
    <t>5116**********3712</t>
  </si>
  <si>
    <t>4601**********0624</t>
  </si>
  <si>
    <t>2306**********086X</t>
  </si>
  <si>
    <t>4600**********4411</t>
  </si>
  <si>
    <t>4600**********5083</t>
  </si>
  <si>
    <t>4105**********404X</t>
  </si>
  <si>
    <t>4502**********1420</t>
  </si>
  <si>
    <t>4600**********0939</t>
  </si>
  <si>
    <t>4600**********224X</t>
  </si>
  <si>
    <t>4601**********0029</t>
  </si>
  <si>
    <t>1307**********1713</t>
  </si>
  <si>
    <t>4600**********5211</t>
  </si>
  <si>
    <t>4602**********0015</t>
  </si>
  <si>
    <t>4412**********2338</t>
  </si>
  <si>
    <t>4600**********4031</t>
  </si>
  <si>
    <t>4600**********8126</t>
  </si>
  <si>
    <t>4602**********1669</t>
  </si>
  <si>
    <t>4602**********3365</t>
  </si>
  <si>
    <t>4600**********5626</t>
  </si>
  <si>
    <t>4526**********2280</t>
  </si>
  <si>
    <t>4452**********4487</t>
  </si>
  <si>
    <t>4602**********3141</t>
  </si>
  <si>
    <t>4600**********0812</t>
  </si>
  <si>
    <t>4602**********1664</t>
  </si>
  <si>
    <t>3703**********3115</t>
  </si>
  <si>
    <t>4600**********0021</t>
  </si>
  <si>
    <t>4602**********5119</t>
  </si>
  <si>
    <t>4600**********0424</t>
  </si>
  <si>
    <t>4600**********7210</t>
  </si>
  <si>
    <t>4509**********8523</t>
  </si>
  <si>
    <t>4602**********2744</t>
  </si>
  <si>
    <t>1521**********068X</t>
  </si>
  <si>
    <t>4600**********3263</t>
  </si>
  <si>
    <t>4600**********4695</t>
  </si>
  <si>
    <t>4600**********2927</t>
  </si>
  <si>
    <t>4408**********7368</t>
  </si>
  <si>
    <t>4600**********1216</t>
  </si>
  <si>
    <t>4128**********6625</t>
  </si>
  <si>
    <t>4307**********4024</t>
  </si>
  <si>
    <t>4600**********3238</t>
  </si>
  <si>
    <t>4602**********4694</t>
  </si>
  <si>
    <t>4600**********1020</t>
  </si>
  <si>
    <t>4600**********4123</t>
  </si>
  <si>
    <t>4602**********0020</t>
  </si>
  <si>
    <t>2111**********0311</t>
  </si>
  <si>
    <t>4201**********0047</t>
  </si>
  <si>
    <t>4602**********5520</t>
  </si>
  <si>
    <t>4600**********0422</t>
  </si>
  <si>
    <t>3416**********1556</t>
  </si>
  <si>
    <t>4600**********3604</t>
  </si>
  <si>
    <t>4600**********8216</t>
  </si>
  <si>
    <t>4600**********4781</t>
  </si>
  <si>
    <t>4600**********7624</t>
  </si>
  <si>
    <t>4690**********1327</t>
  </si>
  <si>
    <t>4690**********0747</t>
  </si>
  <si>
    <t>4600**********3220</t>
  </si>
  <si>
    <t>4600**********0457</t>
  </si>
  <si>
    <t>4600**********4482</t>
  </si>
  <si>
    <t>4600**********8345</t>
  </si>
  <si>
    <t>4211**********8228</t>
  </si>
  <si>
    <t>4600**********392X</t>
  </si>
  <si>
    <t>1406**********9544</t>
  </si>
  <si>
    <t>4602**********4466</t>
  </si>
  <si>
    <t>4600**********8716</t>
  </si>
  <si>
    <t>5105**********0806</t>
  </si>
  <si>
    <t>4600**********2427</t>
  </si>
  <si>
    <t>4602**********4712</t>
  </si>
  <si>
    <t>4602**********4460</t>
  </si>
  <si>
    <t>6124**********8325</t>
  </si>
  <si>
    <t>4602**********0023</t>
  </si>
  <si>
    <t>4600**********6848</t>
  </si>
  <si>
    <t>4601**********1845</t>
  </si>
  <si>
    <t>5134**********7121</t>
  </si>
  <si>
    <t>4602**********446X</t>
  </si>
  <si>
    <t>4305**********0012</t>
  </si>
  <si>
    <t>4600**********1210</t>
  </si>
  <si>
    <t>6422**********0029</t>
  </si>
  <si>
    <t>4602**********2935</t>
  </si>
  <si>
    <t>5108**********4817</t>
  </si>
  <si>
    <t>4600**********0726</t>
  </si>
  <si>
    <t>3707**********2540</t>
  </si>
  <si>
    <t>4600**********5811</t>
  </si>
  <si>
    <t>4309**********0324</t>
  </si>
  <si>
    <t>4600**********6612</t>
  </si>
  <si>
    <t>4601**********1825</t>
  </si>
  <si>
    <t>3326**********5569</t>
  </si>
  <si>
    <t>4600**********6020</t>
  </si>
  <si>
    <t>2309**********0312</t>
  </si>
  <si>
    <t>4600**********322X</t>
  </si>
  <si>
    <t>4414**********0029</t>
  </si>
  <si>
    <t>3729**********3380</t>
  </si>
  <si>
    <t>4600**********2622</t>
  </si>
  <si>
    <t>4600**********0029</t>
  </si>
  <si>
    <t>4600**********0023</t>
  </si>
  <si>
    <t>4602**********5519</t>
  </si>
  <si>
    <t>4600**********5222</t>
  </si>
  <si>
    <t>4600**********4903</t>
  </si>
  <si>
    <t>4600**********3216</t>
  </si>
  <si>
    <t>4601**********1858</t>
  </si>
  <si>
    <t>4309**********0028</t>
  </si>
  <si>
    <t>4600**********2422</t>
  </si>
  <si>
    <t>3307**********0022</t>
  </si>
  <si>
    <t>4690**********2621</t>
  </si>
  <si>
    <t>4600**********4877</t>
  </si>
  <si>
    <t>4602**********5115</t>
  </si>
  <si>
    <t>4601**********2723</t>
  </si>
  <si>
    <t>4600**********4275</t>
  </si>
  <si>
    <t>2311**********0158</t>
  </si>
  <si>
    <t>3717**********4143</t>
  </si>
  <si>
    <t>4600**********3811</t>
  </si>
  <si>
    <t>4690**********4525</t>
  </si>
  <si>
    <t>5224**********6626</t>
  </si>
  <si>
    <t>4210**********0340</t>
  </si>
  <si>
    <t>4600**********3887</t>
  </si>
  <si>
    <t>4690**********4521</t>
  </si>
  <si>
    <t>3603**********3541</t>
  </si>
  <si>
    <t>2308**********0247</t>
  </si>
  <si>
    <t>4110**********1018</t>
  </si>
  <si>
    <t>4600**********6617</t>
  </si>
  <si>
    <t>4601**********0027</t>
  </si>
  <si>
    <t>4305**********0021</t>
  </si>
  <si>
    <t>4600**********4110</t>
  </si>
  <si>
    <t>1410**********0069</t>
  </si>
  <si>
    <t>4602**********4697</t>
  </si>
  <si>
    <t>4600**********7262</t>
  </si>
  <si>
    <t>4600**********0616</t>
  </si>
  <si>
    <t>3713**********003X</t>
  </si>
  <si>
    <t>3709**********7285</t>
  </si>
  <si>
    <t>4600**********0644</t>
  </si>
  <si>
    <t>4503**********2824</t>
  </si>
  <si>
    <t>2304**********2419</t>
  </si>
  <si>
    <t>4405**********1580</t>
  </si>
  <si>
    <t>4600**********3222</t>
  </si>
  <si>
    <t>4104**********7518</t>
  </si>
  <si>
    <t>4602**********5113</t>
  </si>
  <si>
    <t>4420**********6666</t>
  </si>
  <si>
    <t>3625**********1236</t>
  </si>
  <si>
    <t>4600**********6024</t>
  </si>
  <si>
    <t>1302**********1886</t>
  </si>
  <si>
    <t>2201**********0620</t>
  </si>
  <si>
    <t>4602**********3180</t>
  </si>
  <si>
    <t>6403**********2921</t>
  </si>
  <si>
    <t>4114**********8427</t>
  </si>
  <si>
    <t>4602**********2309</t>
  </si>
  <si>
    <t>4602**********4435</t>
  </si>
  <si>
    <t>4304**********7236</t>
  </si>
  <si>
    <t>4114**********7349</t>
  </si>
  <si>
    <t>4600**********4980</t>
  </si>
  <si>
    <t>4600**********2723</t>
  </si>
  <si>
    <t>4600**********5669</t>
  </si>
  <si>
    <t>4690**********4421</t>
  </si>
  <si>
    <t>4600**********3584</t>
  </si>
  <si>
    <t>3607**********1328</t>
  </si>
  <si>
    <t>4208**********0066</t>
  </si>
  <si>
    <t>4602**********0261</t>
  </si>
  <si>
    <t>4600**********4814</t>
  </si>
  <si>
    <t>4600**********3240</t>
  </si>
  <si>
    <t>5003**********2942</t>
  </si>
  <si>
    <t>4602**********2923</t>
  </si>
  <si>
    <t>4600**********2330</t>
  </si>
  <si>
    <t>4600**********3027</t>
  </si>
  <si>
    <t>4601**********0325</t>
  </si>
  <si>
    <t>4600**********483X</t>
  </si>
  <si>
    <t>4602**********3814</t>
  </si>
  <si>
    <t>3501**********554X</t>
  </si>
  <si>
    <t>4602**********4442</t>
  </si>
  <si>
    <t>4600**********0025</t>
  </si>
  <si>
    <t>5002**********7818</t>
  </si>
  <si>
    <t>1311**********0063</t>
  </si>
  <si>
    <t>4600**********0640</t>
  </si>
  <si>
    <t>4130**********5756</t>
  </si>
  <si>
    <t>4690**********7322</t>
  </si>
  <si>
    <t>4412**********2517</t>
  </si>
  <si>
    <t>4600**********3922</t>
  </si>
  <si>
    <t>1526**********4815</t>
  </si>
  <si>
    <t>4600**********005X</t>
  </si>
  <si>
    <t>4600**********0426</t>
  </si>
  <si>
    <t>4206**********4223</t>
  </si>
  <si>
    <t>4600**********3841</t>
  </si>
  <si>
    <t>2110**********011X</t>
  </si>
  <si>
    <t>4600**********6426</t>
  </si>
  <si>
    <t>4600**********1418</t>
  </si>
  <si>
    <t>3625**********0422</t>
  </si>
  <si>
    <t>4101**********6921</t>
  </si>
  <si>
    <t>2305**********0547</t>
  </si>
  <si>
    <t>4522**********3044</t>
  </si>
  <si>
    <t>4600**********2049</t>
  </si>
  <si>
    <t>2301**********4826</t>
  </si>
  <si>
    <t>4600**********6828</t>
  </si>
  <si>
    <t>4600**********0420</t>
  </si>
  <si>
    <t>5111**********4524</t>
  </si>
  <si>
    <t>4600**********3025</t>
  </si>
  <si>
    <t>4600**********1221</t>
  </si>
  <si>
    <t>5321**********1701</t>
  </si>
  <si>
    <t>4600**********2228</t>
  </si>
  <si>
    <t>4690**********4212</t>
  </si>
  <si>
    <t>4600**********6639</t>
  </si>
  <si>
    <t>4690**********0041</t>
  </si>
  <si>
    <t>4602**********4441</t>
  </si>
  <si>
    <t>3607**********0066</t>
  </si>
  <si>
    <t>4602**********4044</t>
  </si>
  <si>
    <t>4206**********4527</t>
  </si>
  <si>
    <t>4301**********7997</t>
  </si>
  <si>
    <t>4600**********3646</t>
  </si>
  <si>
    <t>4114**********3374</t>
  </si>
  <si>
    <t>4508**********0564</t>
  </si>
  <si>
    <t>4601**********0025</t>
  </si>
  <si>
    <t>5119**********3529</t>
  </si>
  <si>
    <t>4600**********4982</t>
  </si>
  <si>
    <t>4602**********0985</t>
  </si>
  <si>
    <t>1423**********4528</t>
  </si>
  <si>
    <t>4600**********3149</t>
  </si>
  <si>
    <t>4600**********4620</t>
  </si>
  <si>
    <t>1301**********6729</t>
  </si>
  <si>
    <t>4600**********7227</t>
  </si>
  <si>
    <t>4600**********2728</t>
  </si>
  <si>
    <t>1411**********006X</t>
  </si>
  <si>
    <t>4115**********0987</t>
  </si>
  <si>
    <t>4600**********3272</t>
  </si>
  <si>
    <t>4600**********1620</t>
  </si>
  <si>
    <t>4206**********0348</t>
  </si>
  <si>
    <t>1404**********0061</t>
  </si>
  <si>
    <t>4104**********7621</t>
  </si>
  <si>
    <t>4603**********0628</t>
  </si>
  <si>
    <t>4690**********242X</t>
  </si>
  <si>
    <t>2308**********0819</t>
  </si>
  <si>
    <t>4600**********6163</t>
  </si>
  <si>
    <t>4600**********2013</t>
  </si>
  <si>
    <t>4600**********1721</t>
  </si>
  <si>
    <t>1407**********007X</t>
  </si>
  <si>
    <t>4409**********2831</t>
  </si>
  <si>
    <t>4600**********2684</t>
  </si>
  <si>
    <t>3208**********3662</t>
  </si>
  <si>
    <t>4600**********1523</t>
  </si>
  <si>
    <t>4502**********0721</t>
  </si>
  <si>
    <t>4313**********0105</t>
  </si>
  <si>
    <t>4304**********3019</t>
  </si>
  <si>
    <t>4509**********4620</t>
  </si>
  <si>
    <t>2101**********334X</t>
  </si>
  <si>
    <t>4600**********1519</t>
  </si>
  <si>
    <t>4600**********282X</t>
  </si>
  <si>
    <t>4303**********7154</t>
  </si>
  <si>
    <t>4602**********4447</t>
  </si>
  <si>
    <t>4602**********0520</t>
  </si>
  <si>
    <t>4522**********1722</t>
  </si>
  <si>
    <t>1304**********0016</t>
  </si>
  <si>
    <t>3212**********7292</t>
  </si>
  <si>
    <t>6205**********3114</t>
  </si>
  <si>
    <t>4600**********7014</t>
  </si>
  <si>
    <t>4307**********0029</t>
  </si>
  <si>
    <t>4600**********4460</t>
  </si>
  <si>
    <t>4690**********4423</t>
  </si>
  <si>
    <t>3708**********0017</t>
  </si>
  <si>
    <t>4103**********0545</t>
  </si>
  <si>
    <t>2310**********0521</t>
  </si>
  <si>
    <t>4600**********1420</t>
  </si>
  <si>
    <t>4408**********0057</t>
  </si>
  <si>
    <t>1401**********2536</t>
  </si>
  <si>
    <t>4690**********2829</t>
  </si>
  <si>
    <t>5303**********056X</t>
  </si>
  <si>
    <t>4600**********0013</t>
  </si>
  <si>
    <t>2306**********4044</t>
  </si>
  <si>
    <t>4602**********5114</t>
  </si>
  <si>
    <t>4600**********4415</t>
  </si>
  <si>
    <t>3729**********1213</t>
  </si>
  <si>
    <t>6101**********6026</t>
  </si>
  <si>
    <t>1407**********711X</t>
  </si>
  <si>
    <t>4601**********0922</t>
  </si>
  <si>
    <t>2304**********0447</t>
  </si>
  <si>
    <t>4602**********4707</t>
  </si>
  <si>
    <t>4600**********0414</t>
  </si>
  <si>
    <t>6106**********0031</t>
  </si>
  <si>
    <t>2203**********1025</t>
  </si>
  <si>
    <t>2312**********7341</t>
  </si>
  <si>
    <t>2304**********0527</t>
  </si>
  <si>
    <t>5002**********1629</t>
  </si>
  <si>
    <t>1307**********1720</t>
  </si>
  <si>
    <t>4600**********082X</t>
  </si>
  <si>
    <t>4228**********4454</t>
  </si>
  <si>
    <t>3203**********9212</t>
  </si>
  <si>
    <t>3703**********103X</t>
  </si>
  <si>
    <t>4602**********053X</t>
  </si>
  <si>
    <t>4600**********4915</t>
  </si>
  <si>
    <t>4600**********5978</t>
  </si>
  <si>
    <t>2206**********2524</t>
  </si>
  <si>
    <t>4600**********091X</t>
  </si>
  <si>
    <t>1304**********292X</t>
  </si>
  <si>
    <t>九级管理岗2</t>
  </si>
  <si>
    <t>三亚市崖州区文明城市建设服务中心</t>
  </si>
  <si>
    <t>4602**********0297</t>
  </si>
  <si>
    <t>4109**********6335</t>
  </si>
  <si>
    <t>4600**********477X</t>
  </si>
  <si>
    <t>4600**********762X</t>
  </si>
  <si>
    <t>4600**********0046</t>
  </si>
  <si>
    <t>4114**********3219</t>
  </si>
  <si>
    <t>4600**********4111</t>
  </si>
  <si>
    <t>4600**********0529</t>
  </si>
  <si>
    <t>4690**********2429</t>
  </si>
  <si>
    <t>4602**********3386</t>
  </si>
  <si>
    <t>2301**********442X</t>
  </si>
  <si>
    <t>4600**********498X</t>
  </si>
  <si>
    <t>4602**********511X</t>
  </si>
  <si>
    <t>4602**********0559</t>
  </si>
  <si>
    <t>4600**********4225</t>
  </si>
  <si>
    <t>2304**********0313</t>
  </si>
  <si>
    <t>4600**********212X</t>
  </si>
  <si>
    <t>4602**********4903</t>
  </si>
  <si>
    <t>4602**********1658</t>
  </si>
  <si>
    <t>4602**********5110</t>
  </si>
  <si>
    <t>4600**********0059</t>
  </si>
  <si>
    <t>4600**********4022</t>
  </si>
  <si>
    <t>4600**********401X</t>
  </si>
  <si>
    <t>4600**********0316</t>
  </si>
  <si>
    <t>4600**********272X</t>
  </si>
  <si>
    <t>4602**********5341</t>
  </si>
  <si>
    <t>4600**********0014</t>
  </si>
  <si>
    <t>2305**********0326</t>
  </si>
  <si>
    <t>4600**********4219</t>
  </si>
  <si>
    <t>4600**********094X</t>
  </si>
  <si>
    <t>4600**********4214</t>
  </si>
  <si>
    <t>4600**********2414</t>
  </si>
  <si>
    <t>4127**********4669</t>
  </si>
  <si>
    <t>5226**********004X</t>
  </si>
  <si>
    <t>4600**********0028</t>
  </si>
  <si>
    <t>4690**********0466</t>
  </si>
  <si>
    <t>4208**********3344</t>
  </si>
  <si>
    <t>4600**********2435</t>
  </si>
  <si>
    <t>1404**********2028</t>
  </si>
  <si>
    <t>4600**********0033</t>
  </si>
  <si>
    <t>4600**********3679</t>
  </si>
  <si>
    <t>4602**********2719</t>
  </si>
  <si>
    <t>4408**********1820</t>
  </si>
  <si>
    <t>4603**********0325</t>
  </si>
  <si>
    <t>4600**********507X</t>
  </si>
  <si>
    <t>4602**********1682</t>
  </si>
  <si>
    <t>4602**********3821</t>
  </si>
  <si>
    <t>4600**********2119</t>
  </si>
  <si>
    <t>6124**********0214</t>
  </si>
  <si>
    <t>4600**********0428</t>
  </si>
  <si>
    <t>4600**********4413</t>
  </si>
  <si>
    <t>4600**********3442</t>
  </si>
  <si>
    <t>4600**********4137</t>
  </si>
  <si>
    <t>4600**********4566</t>
  </si>
  <si>
    <t>4600**********2326</t>
  </si>
  <si>
    <t>4600**********1484</t>
  </si>
  <si>
    <t>4331**********6333</t>
  </si>
  <si>
    <t>1306**********1246</t>
  </si>
  <si>
    <t>4600**********0412</t>
  </si>
  <si>
    <t>4602**********2928</t>
  </si>
  <si>
    <t>6125**********1921</t>
  </si>
  <si>
    <t>4690**********3222</t>
  </si>
  <si>
    <t>2311**********2161</t>
  </si>
  <si>
    <t>4602**********1399</t>
  </si>
  <si>
    <t>4600**********571X</t>
  </si>
  <si>
    <t>2306**********0868</t>
  </si>
  <si>
    <t>4602**********3827</t>
  </si>
  <si>
    <t>4601**********0619</t>
  </si>
  <si>
    <t>1302**********1545</t>
  </si>
  <si>
    <t>3701**********0054</t>
  </si>
  <si>
    <t>4600**********4854</t>
  </si>
  <si>
    <t>4600**********5080</t>
  </si>
  <si>
    <t>4600**********1518</t>
  </si>
  <si>
    <t>4114**********1529</t>
  </si>
  <si>
    <t>4113**********0664</t>
  </si>
  <si>
    <t>4600**********3054</t>
  </si>
  <si>
    <t>5202**********4738</t>
  </si>
  <si>
    <t>1521**********921X</t>
  </si>
  <si>
    <t>4602**********0525</t>
  </si>
  <si>
    <t>4600**********6429</t>
  </si>
  <si>
    <t>4600**********2629</t>
  </si>
  <si>
    <t>4414**********2251</t>
  </si>
  <si>
    <t>4602**********0027</t>
  </si>
  <si>
    <t>3408**********0245</t>
  </si>
  <si>
    <t>4602**********2509</t>
  </si>
  <si>
    <t>4409**********4482</t>
  </si>
  <si>
    <t>5110**********7721</t>
  </si>
  <si>
    <t>4600**********1226</t>
  </si>
  <si>
    <t>4600**********0027</t>
  </si>
  <si>
    <t>4602**********0286</t>
  </si>
  <si>
    <t>3624**********7419</t>
  </si>
  <si>
    <t>九级管理岗3</t>
  </si>
  <si>
    <t>三亚市崖州区信访服务中心</t>
  </si>
  <si>
    <t>4600**********2729</t>
  </si>
  <si>
    <t>3713**********4730</t>
  </si>
  <si>
    <t>4600**********1030</t>
  </si>
  <si>
    <t>4113**********8291</t>
  </si>
  <si>
    <t>1306**********0323</t>
  </si>
  <si>
    <t>4600**********2721</t>
  </si>
  <si>
    <t>4600**********2726</t>
  </si>
  <si>
    <t>2202**********5128</t>
  </si>
  <si>
    <t>4600**********7622</t>
  </si>
  <si>
    <t>4600**********4819</t>
  </si>
  <si>
    <t>4690**********6029</t>
  </si>
  <si>
    <t>4600**********3234</t>
  </si>
  <si>
    <t>4600**********4606</t>
  </si>
  <si>
    <t>4600**********5210</t>
  </si>
  <si>
    <t>4311**********7632</t>
  </si>
  <si>
    <t>4600**********4830</t>
  </si>
  <si>
    <t>4211**********202X</t>
  </si>
  <si>
    <t>4600**********404X</t>
  </si>
  <si>
    <t>4602**********314X</t>
  </si>
  <si>
    <t>4600**********0024</t>
  </si>
  <si>
    <t>3302**********0016</t>
  </si>
  <si>
    <t>4690**********4527</t>
  </si>
  <si>
    <t>4600**********362X</t>
  </si>
  <si>
    <t>5303**********0018</t>
  </si>
  <si>
    <t>4600**********0079</t>
  </si>
  <si>
    <t>4600**********1816</t>
  </si>
  <si>
    <t>4600**********3872</t>
  </si>
  <si>
    <t>4600**********8221</t>
  </si>
  <si>
    <t>4600**********5256</t>
  </si>
  <si>
    <t>4600**********0036</t>
  </si>
  <si>
    <t>4600**********5915</t>
  </si>
  <si>
    <t>4602**********3335</t>
  </si>
  <si>
    <t>4600**********5362</t>
  </si>
  <si>
    <t>2302**********1048</t>
  </si>
  <si>
    <t>4602**********4704</t>
  </si>
  <si>
    <t>4600**********4427</t>
  </si>
  <si>
    <t>4600**********2025</t>
  </si>
  <si>
    <t>4601**********0916</t>
  </si>
  <si>
    <t>4600**********5295</t>
  </si>
  <si>
    <t>4602**********0018</t>
  </si>
  <si>
    <t>2311**********0216</t>
  </si>
  <si>
    <t>3607**********3837</t>
  </si>
  <si>
    <t>4690**********272X</t>
  </si>
  <si>
    <t>2201**********4022</t>
  </si>
  <si>
    <t>4600**********0020</t>
  </si>
  <si>
    <t>4602**********3367</t>
  </si>
  <si>
    <t>4600**********4992</t>
  </si>
  <si>
    <t>4602**********294X</t>
  </si>
  <si>
    <t>4601**********2718</t>
  </si>
  <si>
    <t>4600**********1290</t>
  </si>
  <si>
    <t>4600**********4590</t>
  </si>
  <si>
    <t>4203**********0313</t>
  </si>
  <si>
    <t>5001**********1027</t>
  </si>
  <si>
    <t>4600**********4811</t>
  </si>
  <si>
    <t>1406**********0522</t>
  </si>
  <si>
    <t>4600**********1530</t>
  </si>
  <si>
    <t>5110**********7546</t>
  </si>
  <si>
    <t>4600**********5035</t>
  </si>
  <si>
    <t>4600**********2922</t>
  </si>
  <si>
    <t>4600**********5213</t>
  </si>
  <si>
    <t>4600**********0049</t>
  </si>
  <si>
    <t>4600**********0717</t>
  </si>
  <si>
    <t>4103**********1518</t>
  </si>
  <si>
    <t>4602**********5526</t>
  </si>
  <si>
    <t>4602**********6314</t>
  </si>
  <si>
    <t>4601**********1832</t>
  </si>
  <si>
    <t>4600**********1517</t>
  </si>
  <si>
    <t>4600**********0629</t>
  </si>
  <si>
    <t>4600**********0227</t>
  </si>
  <si>
    <t>4600**********0713</t>
  </si>
  <si>
    <t>4690**********2410</t>
  </si>
  <si>
    <t>4600**********3322</t>
  </si>
  <si>
    <t>6104**********2747</t>
  </si>
  <si>
    <t>4600**********3211</t>
  </si>
  <si>
    <t>2302**********0019</t>
  </si>
  <si>
    <t>4600**********5010</t>
  </si>
  <si>
    <t>4600**********4472</t>
  </si>
  <si>
    <t>4602**********3364</t>
  </si>
  <si>
    <t>6127**********0422</t>
  </si>
  <si>
    <t>4600**********0010</t>
  </si>
  <si>
    <t>4601**********1810</t>
  </si>
  <si>
    <t>4690**********1918</t>
  </si>
  <si>
    <t>4602**********5718</t>
  </si>
  <si>
    <t>4600**********5226</t>
  </si>
  <si>
    <t>4602**********5122</t>
  </si>
  <si>
    <t>4206**********5010</t>
  </si>
  <si>
    <t>4600**********2345</t>
  </si>
  <si>
    <t>6105**********6115</t>
  </si>
  <si>
    <t>4600**********2816</t>
  </si>
  <si>
    <t>4600**********0325</t>
  </si>
  <si>
    <t>4600**********121X</t>
  </si>
  <si>
    <t>4602**********4909</t>
  </si>
  <si>
    <t>4600**********2315</t>
  </si>
  <si>
    <t>4600**********7506</t>
  </si>
  <si>
    <t>4600**********5847</t>
  </si>
  <si>
    <t>4602**********4913</t>
  </si>
  <si>
    <t>4600**********2966</t>
  </si>
  <si>
    <t>6104**********0021</t>
  </si>
  <si>
    <t>4600**********2741</t>
  </si>
  <si>
    <t>4600**********0322</t>
  </si>
  <si>
    <t>1301**********3912</t>
  </si>
  <si>
    <t>4600**********1812</t>
  </si>
  <si>
    <t>4602**********4701</t>
  </si>
  <si>
    <t>3506**********0512</t>
  </si>
  <si>
    <t>4600**********4234</t>
  </si>
  <si>
    <t>4600**********5126</t>
  </si>
  <si>
    <t>4600**********1628</t>
  </si>
  <si>
    <t>4600**********661X</t>
  </si>
  <si>
    <t>1311**********5222</t>
  </si>
  <si>
    <t>4600**********234X</t>
  </si>
  <si>
    <t>4602**********2728</t>
  </si>
  <si>
    <t>4110**********3653</t>
  </si>
  <si>
    <t>4600**********601X</t>
  </si>
  <si>
    <t>4105**********4426</t>
  </si>
  <si>
    <t>1406**********9014</t>
  </si>
  <si>
    <t>4513**********4220</t>
  </si>
  <si>
    <t>4600**********4919</t>
  </si>
  <si>
    <t>4600**********0849</t>
  </si>
  <si>
    <t>4600**********0635</t>
  </si>
  <si>
    <t>4600**********3828</t>
  </si>
  <si>
    <t>4600**********4619</t>
  </si>
  <si>
    <t>4600**********0311</t>
  </si>
  <si>
    <t>3625**********4042</t>
  </si>
  <si>
    <t>4600**********3423</t>
  </si>
  <si>
    <t>4600**********0843</t>
  </si>
  <si>
    <t>4600**********3228</t>
  </si>
  <si>
    <t>4600**********3219</t>
  </si>
  <si>
    <t>4312**********0425</t>
  </si>
  <si>
    <t>3622**********5911</t>
  </si>
  <si>
    <t>4600**********552X</t>
  </si>
  <si>
    <t>4104**********0520</t>
  </si>
  <si>
    <t>4600**********2312</t>
  </si>
  <si>
    <t>4600**********0739</t>
  </si>
  <si>
    <t>4600**********0022</t>
  </si>
  <si>
    <t>4600**********7029</t>
  </si>
  <si>
    <t>4602**********4720</t>
  </si>
  <si>
    <t>4600**********4823</t>
  </si>
  <si>
    <t>4690**********2422</t>
  </si>
  <si>
    <t>4602**********5116</t>
  </si>
  <si>
    <t>4602**********552X</t>
  </si>
  <si>
    <t>4600**********4822</t>
  </si>
  <si>
    <t>4690**********497X</t>
  </si>
  <si>
    <t>4600**********581X</t>
  </si>
  <si>
    <t>4600**********3214</t>
  </si>
  <si>
    <t>4209**********6813</t>
  </si>
  <si>
    <t>2305**********091X</t>
  </si>
  <si>
    <t>4600**********1213</t>
  </si>
  <si>
    <t>3623**********0022</t>
  </si>
  <si>
    <t>4600**********2113</t>
  </si>
  <si>
    <t>4600**********4416</t>
  </si>
  <si>
    <t>4600**********2079</t>
  </si>
  <si>
    <t>4600**********4019</t>
  </si>
  <si>
    <t>4600**********5921</t>
  </si>
  <si>
    <t>4600**********2339</t>
  </si>
  <si>
    <t>3604**********0623</t>
  </si>
  <si>
    <t>4600**********2614</t>
  </si>
  <si>
    <t>4601**********0028</t>
  </si>
  <si>
    <t>4602**********5349</t>
  </si>
  <si>
    <t>4600**********2041</t>
  </si>
  <si>
    <t>4602**********0032</t>
  </si>
  <si>
    <t>4690**********0828</t>
  </si>
  <si>
    <t>1521**********1529</t>
  </si>
  <si>
    <t>4600**********5149</t>
  </si>
  <si>
    <t>4602**********4923</t>
  </si>
  <si>
    <t>4600**********4481</t>
  </si>
  <si>
    <t>4602**********4449</t>
  </si>
  <si>
    <t>4509**********4108</t>
  </si>
  <si>
    <t>4408**********1836</t>
  </si>
  <si>
    <t>4690**********6127</t>
  </si>
  <si>
    <t>4600**********3416</t>
  </si>
  <si>
    <t>4602**********4919</t>
  </si>
  <si>
    <t>3508**********3028</t>
  </si>
  <si>
    <t>4600**********4486</t>
  </si>
  <si>
    <t>4690**********4472</t>
  </si>
  <si>
    <t>4601**********1826</t>
  </si>
  <si>
    <t>4602**********5129</t>
  </si>
  <si>
    <t>4602**********5345</t>
  </si>
  <si>
    <t>4601**********0639</t>
  </si>
  <si>
    <t>4600**********0722</t>
  </si>
  <si>
    <t>4600**********2218</t>
  </si>
  <si>
    <t>4211**********0528</t>
  </si>
  <si>
    <t>4600**********4292</t>
  </si>
  <si>
    <t>4690**********8086</t>
  </si>
  <si>
    <t>4600**********0814</t>
  </si>
  <si>
    <t>4600**********5255</t>
  </si>
  <si>
    <t>4600**********2440</t>
  </si>
  <si>
    <t>4600**********4414</t>
  </si>
  <si>
    <t>4600**********4846</t>
  </si>
  <si>
    <t>4602**********3132</t>
  </si>
  <si>
    <t>4690**********5626</t>
  </si>
  <si>
    <t>4600**********0923</t>
  </si>
  <si>
    <t>4601**********1834</t>
  </si>
  <si>
    <t>2201**********0745</t>
  </si>
  <si>
    <t>4600**********0911</t>
  </si>
  <si>
    <t>4600**********102X</t>
  </si>
  <si>
    <t>4600**********2015</t>
  </si>
  <si>
    <t>4600**********1512</t>
  </si>
  <si>
    <t>4600**********0035</t>
  </si>
  <si>
    <t>4600**********0624</t>
  </si>
  <si>
    <t>4602**********1886</t>
  </si>
  <si>
    <t>4601**********0014</t>
  </si>
  <si>
    <t>4690**********663X</t>
  </si>
  <si>
    <t>4600**********2010</t>
  </si>
  <si>
    <t>4116**********0020</t>
  </si>
  <si>
    <t>4601**********7120</t>
  </si>
  <si>
    <t>4602**********5117</t>
  </si>
  <si>
    <t>4602**********3820</t>
  </si>
  <si>
    <t>2301**********3627</t>
  </si>
  <si>
    <t>4600**********4581</t>
  </si>
  <si>
    <t>4602**********5123</t>
  </si>
  <si>
    <t>4600**********0631</t>
  </si>
  <si>
    <t>4602**********2362</t>
  </si>
  <si>
    <t>1302**********5920</t>
  </si>
  <si>
    <t>4603**********0318</t>
  </si>
  <si>
    <t>2323**********5220</t>
  </si>
  <si>
    <t>4600**********2823</t>
  </si>
  <si>
    <t>3701**********2225</t>
  </si>
  <si>
    <t>4600**********0514</t>
  </si>
  <si>
    <t>4600**********7483</t>
  </si>
  <si>
    <t>4602**********533X</t>
  </si>
  <si>
    <t>4602**********3147</t>
  </si>
  <si>
    <t>4600**********3273</t>
  </si>
  <si>
    <t>4600**********4116</t>
  </si>
  <si>
    <t>4602**********3358</t>
  </si>
  <si>
    <t>4600**********4784</t>
  </si>
  <si>
    <t>3622**********0015</t>
  </si>
  <si>
    <t>3704**********2229</t>
  </si>
  <si>
    <t>4602**********5927</t>
  </si>
  <si>
    <t>4602**********0014</t>
  </si>
  <si>
    <t>4600**********4426</t>
  </si>
  <si>
    <t>4602**********0285</t>
  </si>
  <si>
    <t>4307**********3046</t>
  </si>
  <si>
    <t>4600**********7238</t>
  </si>
  <si>
    <t>4600**********3224</t>
  </si>
  <si>
    <t>4602**********3867</t>
  </si>
  <si>
    <t>4600**********0811</t>
  </si>
  <si>
    <t>4600**********7616</t>
  </si>
  <si>
    <t>4602**********5523</t>
  </si>
  <si>
    <t>4602**********3608</t>
  </si>
  <si>
    <t>2306**********0249</t>
  </si>
  <si>
    <t>4600**********1526</t>
  </si>
  <si>
    <t>1305**********4770</t>
  </si>
  <si>
    <t>3604**********153X</t>
  </si>
  <si>
    <t>4600**********6169</t>
  </si>
  <si>
    <t>4600**********1634</t>
  </si>
  <si>
    <t>4600**********1781</t>
  </si>
  <si>
    <t>4602**********1202</t>
  </si>
  <si>
    <t>4602**********0017</t>
  </si>
  <si>
    <t>4690**********0015</t>
  </si>
  <si>
    <t>4690**********620X</t>
  </si>
  <si>
    <t>4602**********4239</t>
  </si>
  <si>
    <t>2207**********1827</t>
  </si>
  <si>
    <t>4600**********2222</t>
  </si>
  <si>
    <t>6227**********2243</t>
  </si>
  <si>
    <t>4600**********1617</t>
  </si>
  <si>
    <t>4600**********8729</t>
  </si>
  <si>
    <t>4690**********2124</t>
  </si>
  <si>
    <t>5001**********9454</t>
  </si>
  <si>
    <t>4602**********422X</t>
  </si>
  <si>
    <t>4600**********2531</t>
  </si>
  <si>
    <t>4305**********005X</t>
  </si>
  <si>
    <t>4602**********3818</t>
  </si>
  <si>
    <t>4600**********1118</t>
  </si>
  <si>
    <t>4601**********1210</t>
  </si>
  <si>
    <t>4600**********7215</t>
  </si>
  <si>
    <t>4600**********2688</t>
  </si>
  <si>
    <t>4602**********5513</t>
  </si>
  <si>
    <t>4601**********0914</t>
  </si>
  <si>
    <t>4602**********0290</t>
  </si>
  <si>
    <t>4600**********1235</t>
  </si>
  <si>
    <t>4600**********5974</t>
  </si>
  <si>
    <t>4600**********2612</t>
  </si>
  <si>
    <t>4602**********312X</t>
  </si>
  <si>
    <t>4602**********0287</t>
  </si>
  <si>
    <t>4690**********0423</t>
  </si>
  <si>
    <t>4601**********0046</t>
  </si>
  <si>
    <t>4602**********030X</t>
  </si>
  <si>
    <t>4600**********0048</t>
  </si>
  <si>
    <t>4600**********003X</t>
  </si>
  <si>
    <t>4600**********2143</t>
  </si>
  <si>
    <t>4600**********4448</t>
  </si>
  <si>
    <t>4602**********5120</t>
  </si>
  <si>
    <t>4601**********1258</t>
  </si>
  <si>
    <t>4600**********0011</t>
  </si>
  <si>
    <t>4601**********2340</t>
  </si>
  <si>
    <t>4600**********0056</t>
  </si>
  <si>
    <t>4128**********5325</t>
  </si>
  <si>
    <t>4600**********6233</t>
  </si>
  <si>
    <t>4600**********0045</t>
  </si>
  <si>
    <t>4690**********6199</t>
  </si>
  <si>
    <t>3209**********002X</t>
  </si>
  <si>
    <t>4600**********1524</t>
  </si>
  <si>
    <t>4600**********462X</t>
  </si>
  <si>
    <t>1311**********0025</t>
  </si>
  <si>
    <t>4602**********4920</t>
  </si>
  <si>
    <t>3201**********4021</t>
  </si>
  <si>
    <t>4602**********5729</t>
  </si>
  <si>
    <t>4602**********0306</t>
  </si>
  <si>
    <t>4600**********1847</t>
  </si>
  <si>
    <t>4690**********0324</t>
  </si>
  <si>
    <t>4690**********3627</t>
  </si>
  <si>
    <t>4600**********7246</t>
  </si>
  <si>
    <t>1305**********0970</t>
  </si>
  <si>
    <t>4600**********2419</t>
  </si>
  <si>
    <t>2305**********1741</t>
  </si>
  <si>
    <t>4602**********0522</t>
  </si>
  <si>
    <t>2304**********0421</t>
  </si>
  <si>
    <t>4601**********1615</t>
  </si>
  <si>
    <t>3213**********0091</t>
  </si>
  <si>
    <t>3715**********3629</t>
  </si>
  <si>
    <t>4600**********1110</t>
  </si>
  <si>
    <t>4601**********091X</t>
  </si>
  <si>
    <t>4600**********3649</t>
  </si>
  <si>
    <t>4600**********6417</t>
  </si>
  <si>
    <t>4600**********3429</t>
  </si>
  <si>
    <t>4600**********2362</t>
  </si>
  <si>
    <t>4602**********3863</t>
  </si>
  <si>
    <t>4602**********002X</t>
  </si>
  <si>
    <t>4602**********3426</t>
  </si>
  <si>
    <t>4600**********4367</t>
  </si>
  <si>
    <t>2309**********0816</t>
  </si>
  <si>
    <t>4600**********2314</t>
  </si>
  <si>
    <t>4601**********3414</t>
  </si>
  <si>
    <t>4602**********5724</t>
  </si>
  <si>
    <t>4600**********0810</t>
  </si>
  <si>
    <t>4600**********0643</t>
  </si>
  <si>
    <t>4602**********3855</t>
  </si>
  <si>
    <t>4600**********3268</t>
  </si>
  <si>
    <t>2310**********3319</t>
  </si>
  <si>
    <t>4600**********071X</t>
  </si>
  <si>
    <t>4600**********0376</t>
  </si>
  <si>
    <t>4600**********1229</t>
  </si>
  <si>
    <t>4600**********3630</t>
  </si>
  <si>
    <t>4690**********657X</t>
  </si>
  <si>
    <t>4600**********2037</t>
  </si>
  <si>
    <t>4600**********1448</t>
  </si>
  <si>
    <t>2302**********0227</t>
  </si>
  <si>
    <t>4305**********7624</t>
  </si>
  <si>
    <t>4602**********5530</t>
  </si>
  <si>
    <t>4602**********5362</t>
  </si>
  <si>
    <t>4600**********4637</t>
  </si>
  <si>
    <t>4602**********0010</t>
  </si>
  <si>
    <t>4602**********1666</t>
  </si>
  <si>
    <t>2310**********1019</t>
  </si>
  <si>
    <t>4600**********4502</t>
  </si>
  <si>
    <t>4600**********0415</t>
  </si>
  <si>
    <t>1422**********001X</t>
  </si>
  <si>
    <t>4600**********5129</t>
  </si>
  <si>
    <t>4602**********1193</t>
  </si>
  <si>
    <t>4602**********001X</t>
  </si>
  <si>
    <t>4305**********2939</t>
  </si>
  <si>
    <t>4600**********4419</t>
  </si>
  <si>
    <t>4690**********5048</t>
  </si>
  <si>
    <t>4602**********4445</t>
  </si>
  <si>
    <t>4600**********3884</t>
  </si>
  <si>
    <t>4600**********2426</t>
  </si>
  <si>
    <t>5221**********3025</t>
  </si>
  <si>
    <t>4601**********262X</t>
  </si>
  <si>
    <t>4600**********162X</t>
  </si>
  <si>
    <t>4600**********4772</t>
  </si>
  <si>
    <t>4690**********2728</t>
  </si>
  <si>
    <t>4600**********7625</t>
  </si>
  <si>
    <t>4601**********0310</t>
  </si>
  <si>
    <t>4600**********4013</t>
  </si>
  <si>
    <t>5113**********1105</t>
  </si>
  <si>
    <t>3623**********1716</t>
  </si>
  <si>
    <t>4600**********1058</t>
  </si>
  <si>
    <t>4600**********4717</t>
  </si>
  <si>
    <t>4600**********1223</t>
  </si>
  <si>
    <t>4600**********5234</t>
  </si>
  <si>
    <t>4600**********5510</t>
  </si>
  <si>
    <t>4601**********0021</t>
  </si>
  <si>
    <t>4602**********0101</t>
  </si>
  <si>
    <t>5303**********2340</t>
  </si>
  <si>
    <t>4600**********0231</t>
  </si>
  <si>
    <t>4600**********4711</t>
  </si>
  <si>
    <t>4600**********1220</t>
  </si>
  <si>
    <t>4602**********052X</t>
  </si>
  <si>
    <t>4600**********5212</t>
  </si>
  <si>
    <t>2309**********1445</t>
  </si>
  <si>
    <t>4305**********6850</t>
  </si>
  <si>
    <t>4600**********0929</t>
  </si>
  <si>
    <t>4600**********2325</t>
  </si>
  <si>
    <t>4602**********0511</t>
  </si>
  <si>
    <t>4602**********1887</t>
  </si>
  <si>
    <t>2303**********0023</t>
  </si>
  <si>
    <t>4602**********4022</t>
  </si>
  <si>
    <t>4690**********4783</t>
  </si>
  <si>
    <t>4600**********4418</t>
  </si>
  <si>
    <t>4600**********3415</t>
  </si>
  <si>
    <t>4690**********291X</t>
  </si>
  <si>
    <t>4602**********1651</t>
  </si>
  <si>
    <t>4600**********4623</t>
  </si>
  <si>
    <t>4600**********6047</t>
  </si>
  <si>
    <t>4600**********3249</t>
  </si>
  <si>
    <t>4600**********3879</t>
  </si>
  <si>
    <t>4600**********4933</t>
  </si>
  <si>
    <t>4213**********3820</t>
  </si>
  <si>
    <t>1406**********1046</t>
  </si>
  <si>
    <t>4600**********0820</t>
  </si>
  <si>
    <t>4309**********6150</t>
  </si>
  <si>
    <t>4602**********4448</t>
  </si>
  <si>
    <t>4690**********5809</t>
  </si>
  <si>
    <t>4602**********4911</t>
  </si>
  <si>
    <t>4600**********6217</t>
  </si>
  <si>
    <t>4600**********6815</t>
  </si>
  <si>
    <t>4600**********1525</t>
  </si>
  <si>
    <t>3622**********3215</t>
  </si>
  <si>
    <t>4690**********4784</t>
  </si>
  <si>
    <t>4600**********0416</t>
  </si>
  <si>
    <t>4601**********1522</t>
  </si>
  <si>
    <t>4600**********0828</t>
  </si>
  <si>
    <t>4600**********241X</t>
  </si>
  <si>
    <t>4402**********0010</t>
  </si>
  <si>
    <t>4600**********4624</t>
  </si>
  <si>
    <t>4408**********2222</t>
  </si>
  <si>
    <t>4602**********051X</t>
  </si>
  <si>
    <t>4600**********0945</t>
  </si>
  <si>
    <t>4602**********1888</t>
  </si>
  <si>
    <t>4600**********0222</t>
  </si>
  <si>
    <t>4602**********3843</t>
  </si>
  <si>
    <t>4600**********3232</t>
  </si>
  <si>
    <t>4601**********4510</t>
  </si>
  <si>
    <t>4600**********0015</t>
  </si>
  <si>
    <t>2310**********0616</t>
  </si>
  <si>
    <t>4601**********3021</t>
  </si>
  <si>
    <t>4600**********0041</t>
  </si>
  <si>
    <t>4600**********2322</t>
  </si>
  <si>
    <t>2302**********4230</t>
  </si>
  <si>
    <t>4600**********0915</t>
  </si>
  <si>
    <t>4600**********2432</t>
  </si>
  <si>
    <t>4600**********0055</t>
  </si>
  <si>
    <t>4114**********6323</t>
  </si>
  <si>
    <t>4601**********2727</t>
  </si>
  <si>
    <t>2301**********1710</t>
  </si>
  <si>
    <t>3203**********5522</t>
  </si>
  <si>
    <t>4600**********5019</t>
  </si>
  <si>
    <t>4601**********0312</t>
  </si>
  <si>
    <t>2109**********1522</t>
  </si>
  <si>
    <t>4600**********0825</t>
  </si>
  <si>
    <t>4600**********4856</t>
  </si>
  <si>
    <t>4602**********5515</t>
  </si>
  <si>
    <t>4600**********3023</t>
  </si>
  <si>
    <t>4600**********5690</t>
  </si>
  <si>
    <t>2304**********0324</t>
  </si>
  <si>
    <t>4600**********7223</t>
  </si>
  <si>
    <t>1406**********4916</t>
  </si>
  <si>
    <t>2301**********1918</t>
  </si>
  <si>
    <t>1503**********2013</t>
  </si>
  <si>
    <t>="陈蔚	"</t>
  </si>
  <si>
    <t>4600**********2349</t>
  </si>
  <si>
    <t>4602**********2724</t>
  </si>
  <si>
    <t>4602**********5111</t>
  </si>
  <si>
    <t>4601**********0611</t>
  </si>
  <si>
    <t>4600**********4015</t>
  </si>
  <si>
    <t>4600**********3826</t>
  </si>
  <si>
    <t>4602**********4486</t>
  </si>
  <si>
    <t>4601**********1831</t>
  </si>
  <si>
    <t>3706**********6252</t>
  </si>
  <si>
    <t>4600**********7241</t>
  </si>
  <si>
    <t>4600**********1044</t>
  </si>
  <si>
    <t>4600**********4475</t>
  </si>
  <si>
    <t>2301**********0229</t>
  </si>
  <si>
    <t>4690**********042X</t>
  </si>
  <si>
    <t>4600**********3901</t>
  </si>
  <si>
    <t>4600**********7245</t>
  </si>
  <si>
    <t>4602**********4698</t>
  </si>
  <si>
    <t>4600**********2843</t>
  </si>
  <si>
    <t>4600**********5375</t>
  </si>
  <si>
    <t>4602**********5730</t>
  </si>
  <si>
    <t>4310**********3616</t>
  </si>
  <si>
    <t>4600**********2822</t>
  </si>
  <si>
    <t>4600**********161X</t>
  </si>
  <si>
    <t>4602**********006X</t>
  </si>
  <si>
    <t>4603**********0647</t>
  </si>
  <si>
    <t>4128**********1410</t>
  </si>
  <si>
    <t>1308**********7729</t>
  </si>
  <si>
    <t>4602**********4446</t>
  </si>
  <si>
    <t>2301**********2119</t>
  </si>
  <si>
    <t>4601**********0016</t>
  </si>
  <si>
    <t>2224**********0216</t>
  </si>
  <si>
    <t>4600**********1623</t>
  </si>
  <si>
    <t>4600**********0444</t>
  </si>
  <si>
    <t>4600**********6151</t>
  </si>
  <si>
    <t>2103**********2116</t>
  </si>
  <si>
    <t>4600**********3876</t>
  </si>
  <si>
    <t>4600**********4669</t>
  </si>
  <si>
    <t>4601**********0349</t>
  </si>
  <si>
    <t>4600**********6575</t>
  </si>
  <si>
    <t>2305**********0011</t>
  </si>
  <si>
    <t>4600**********1019</t>
  </si>
  <si>
    <t>3625**********2059</t>
  </si>
  <si>
    <t>4600**********4644</t>
  </si>
  <si>
    <t>4600**********2227</t>
  </si>
  <si>
    <t>4690**********5781</t>
  </si>
  <si>
    <t>4602**********4221</t>
  </si>
  <si>
    <t>4602**********4702</t>
  </si>
  <si>
    <t>4600**********1119</t>
  </si>
  <si>
    <t>4602**********3840</t>
  </si>
  <si>
    <t>4602**********0274</t>
  </si>
  <si>
    <t>4526**********0010</t>
  </si>
  <si>
    <t>4600**********0058</t>
  </si>
  <si>
    <t>4600**********562X</t>
  </si>
  <si>
    <t>4600**********5077</t>
  </si>
  <si>
    <t>4601**********0315</t>
  </si>
  <si>
    <t>4600**********242X</t>
  </si>
  <si>
    <t>2307**********0012</t>
  </si>
  <si>
    <t>4602**********424X</t>
  </si>
  <si>
    <t>4690**********3585</t>
  </si>
  <si>
    <t>4600**********482X</t>
  </si>
  <si>
    <t>4600**********1215</t>
  </si>
  <si>
    <t>2306**********085X</t>
  </si>
  <si>
    <t>4690**********444X</t>
  </si>
  <si>
    <t>4602**********4444</t>
  </si>
  <si>
    <t>4600**********0039</t>
  </si>
  <si>
    <t>4600**********522X</t>
  </si>
  <si>
    <t>4690**********0920</t>
  </si>
  <si>
    <t>4600**********4489</t>
  </si>
  <si>
    <t>4600**********6165</t>
  </si>
  <si>
    <t>4601**********4429</t>
  </si>
  <si>
    <t>4419**********5873</t>
  </si>
  <si>
    <t>4601**********0048</t>
  </si>
  <si>
    <t>4203**********121X</t>
  </si>
  <si>
    <t>4600**********4115</t>
  </si>
  <si>
    <t>4690**********5825</t>
  </si>
  <si>
    <t>4601**********3320</t>
  </si>
  <si>
    <t>4690**********5384</t>
  </si>
  <si>
    <t>4600**********2943</t>
  </si>
  <si>
    <t>4600**********2817</t>
  </si>
  <si>
    <t>4600**********4449</t>
  </si>
  <si>
    <t>4600**********3714</t>
  </si>
  <si>
    <t>4602**********4929</t>
  </si>
  <si>
    <t>1501**********4626</t>
  </si>
  <si>
    <t>4600**********1824</t>
  </si>
  <si>
    <t>4602**********0038</t>
  </si>
  <si>
    <t>4602**********1409</t>
  </si>
  <si>
    <t>1304**********3025</t>
  </si>
  <si>
    <t>4690**********6422</t>
  </si>
  <si>
    <t>4600**********3119</t>
  </si>
  <si>
    <t>4111**********6527</t>
  </si>
  <si>
    <t>4600**********684X</t>
  </si>
  <si>
    <t>4602**********4451</t>
  </si>
  <si>
    <t>4600**********5079</t>
  </si>
  <si>
    <t>4600**********5081</t>
  </si>
  <si>
    <t>5113**********3026</t>
  </si>
  <si>
    <t>4602**********4436</t>
  </si>
  <si>
    <t>2114**********1626</t>
  </si>
  <si>
    <t>1426**********0024</t>
  </si>
  <si>
    <t>4690**********4977</t>
  </si>
  <si>
    <t>2323**********0663</t>
  </si>
  <si>
    <t>4600**********0686</t>
  </si>
  <si>
    <t>4600**********3928</t>
  </si>
  <si>
    <t>4601**********0026</t>
  </si>
  <si>
    <t>4690**********6628</t>
  </si>
  <si>
    <t>4600**********6435</t>
  </si>
  <si>
    <t>4303**********0562</t>
  </si>
  <si>
    <t>4690**********4422</t>
  </si>
  <si>
    <t>4600**********4229</t>
  </si>
  <si>
    <t>4600**********6813</t>
  </si>
  <si>
    <t>4600**********5442</t>
  </si>
  <si>
    <t>4600**********1022</t>
  </si>
  <si>
    <t>4600**********4816</t>
  </si>
  <si>
    <t>4600**********4360</t>
  </si>
  <si>
    <t>4690**********7656</t>
  </si>
  <si>
    <t>4600**********1836</t>
  </si>
  <si>
    <t>4690**********004X</t>
  </si>
  <si>
    <t>4602**********5339</t>
  </si>
  <si>
    <t>4602**********0039</t>
  </si>
  <si>
    <t>4600**********7224</t>
  </si>
  <si>
    <t>4690**********8523</t>
  </si>
  <si>
    <t>2203**********3228</t>
  </si>
  <si>
    <t>6403**********007X</t>
  </si>
  <si>
    <t>4690**********0620</t>
  </si>
  <si>
    <t>4690**********0625</t>
  </si>
  <si>
    <t>4600**********3419</t>
  </si>
  <si>
    <t>4600**********3625</t>
  </si>
  <si>
    <t>4600**********4727</t>
  </si>
  <si>
    <t>4600**********532X</t>
  </si>
  <si>
    <t>4600**********0856</t>
  </si>
  <si>
    <t>4223**********0027</t>
  </si>
  <si>
    <t>4602**********5332</t>
  </si>
  <si>
    <t>4602**********4915</t>
  </si>
  <si>
    <t>4603**********0610</t>
  </si>
  <si>
    <t>4602**********0545</t>
  </si>
  <si>
    <t>6502**********071X</t>
  </si>
  <si>
    <t>4600**********1823</t>
  </si>
  <si>
    <t>4601**********1536</t>
  </si>
  <si>
    <t>4408**********0021</t>
  </si>
  <si>
    <t>4602**********4247</t>
  </si>
  <si>
    <t>4602**********3146</t>
  </si>
  <si>
    <t>4602**********4901</t>
  </si>
  <si>
    <t>4602**********0518</t>
  </si>
  <si>
    <t>4600**********0913</t>
  </si>
  <si>
    <t>4600**********0217</t>
  </si>
  <si>
    <t>4602**********0523</t>
  </si>
  <si>
    <t>2323**********4648</t>
  </si>
  <si>
    <t>4600**********0634</t>
  </si>
  <si>
    <t>4600**********4477</t>
  </si>
  <si>
    <t>4600**********0218</t>
  </si>
  <si>
    <t>4600**********7242</t>
  </si>
  <si>
    <t>4601**********182X</t>
  </si>
  <si>
    <t>4603**********0621</t>
  </si>
  <si>
    <t>2205**********0188</t>
  </si>
  <si>
    <t>4600**********3881</t>
  </si>
  <si>
    <t>4600**********2012</t>
  </si>
  <si>
    <t>4601**********1513</t>
  </si>
  <si>
    <t>4600**********4014</t>
  </si>
  <si>
    <t>4602**********2290</t>
  </si>
  <si>
    <t>4600**********8027</t>
  </si>
  <si>
    <t>4600**********1227</t>
  </si>
  <si>
    <t>4602**********4015</t>
  </si>
  <si>
    <t>2310**********0028</t>
  </si>
  <si>
    <t>4600**********3329</t>
  </si>
  <si>
    <t>4600**********0823</t>
  </si>
  <si>
    <t>4415**********4281</t>
  </si>
  <si>
    <t>4600**********453X</t>
  </si>
  <si>
    <t>4600**********5373</t>
  </si>
  <si>
    <t>4601**********0018</t>
  </si>
  <si>
    <t>4600**********8337</t>
  </si>
  <si>
    <t>2309**********0144</t>
  </si>
  <si>
    <t>6301**********1626</t>
  </si>
  <si>
    <t>2308**********0528</t>
  </si>
  <si>
    <t>6529**********0010</t>
  </si>
  <si>
    <t>4602**********5544</t>
  </si>
  <si>
    <t>1401**********3644</t>
  </si>
  <si>
    <t>4600**********1724</t>
  </si>
  <si>
    <t>4602**********2722</t>
  </si>
  <si>
    <t>4600**********7522</t>
  </si>
  <si>
    <t>4602**********2306</t>
  </si>
  <si>
    <t>4600**********4832</t>
  </si>
  <si>
    <t>4600**********4139</t>
  </si>
  <si>
    <t>4602**********2916</t>
  </si>
  <si>
    <t>4690**********0614</t>
  </si>
  <si>
    <t>4602**********5344</t>
  </si>
  <si>
    <t>4601**********0330</t>
  </si>
  <si>
    <t>4600**********4640</t>
  </si>
  <si>
    <t>5002**********0047</t>
  </si>
  <si>
    <t>4600**********6223</t>
  </si>
  <si>
    <t>4600**********4381</t>
  </si>
  <si>
    <t>4602**********0060</t>
  </si>
  <si>
    <t>2323**********7319</t>
  </si>
  <si>
    <t>4600**********4494</t>
  </si>
  <si>
    <t>4600**********0329</t>
  </si>
  <si>
    <t>4600**********0030</t>
  </si>
  <si>
    <t>4601**********4214</t>
  </si>
  <si>
    <t>5002**********2585</t>
  </si>
  <si>
    <t>4600**********4851</t>
  </si>
  <si>
    <t>4600**********721X</t>
  </si>
  <si>
    <t>4600**********7126</t>
  </si>
  <si>
    <t>4600**********3328</t>
  </si>
  <si>
    <t>4601**********0644</t>
  </si>
  <si>
    <t>4690**********6869</t>
  </si>
  <si>
    <t>4602**********3849</t>
  </si>
  <si>
    <t>4690**********2413</t>
  </si>
  <si>
    <t>4600**********0054</t>
  </si>
  <si>
    <t>4602**********0528</t>
  </si>
  <si>
    <t>4309**********0325</t>
  </si>
  <si>
    <t>4603**********0323</t>
  </si>
  <si>
    <t>4600**********7230</t>
  </si>
  <si>
    <t>1301**********0612</t>
  </si>
  <si>
    <t>4600**********3239</t>
  </si>
  <si>
    <t>4113**********004X</t>
  </si>
  <si>
    <t>5223**********2226</t>
  </si>
  <si>
    <t>4690**********5616</t>
  </si>
  <si>
    <t>2311**********0025</t>
  </si>
  <si>
    <t>4402**********7019</t>
  </si>
  <si>
    <t>4602**********5126</t>
  </si>
  <si>
    <t>4690**********1221</t>
  </si>
  <si>
    <t>4602**********445X</t>
  </si>
  <si>
    <t>4600**********0448</t>
  </si>
  <si>
    <t>4690**********7229</t>
  </si>
  <si>
    <t>4600**********3241</t>
  </si>
  <si>
    <t>4600**********0225</t>
  </si>
  <si>
    <t>4601**********4112</t>
  </si>
  <si>
    <t>4600**********4824</t>
  </si>
  <si>
    <t>4602**********1197</t>
  </si>
  <si>
    <t>4600**********0038</t>
  </si>
  <si>
    <t>4602**********0013</t>
  </si>
  <si>
    <t>1301**********004X</t>
  </si>
  <si>
    <t>4601**********5726</t>
  </si>
  <si>
    <t>4600**********3262</t>
  </si>
  <si>
    <t>1308**********1219</t>
  </si>
  <si>
    <t>4600**********0740</t>
  </si>
  <si>
    <t>4602**********0780</t>
  </si>
  <si>
    <t>4600**********271X</t>
  </si>
  <si>
    <t>4600**********1723</t>
  </si>
  <si>
    <t>5202**********0121</t>
  </si>
  <si>
    <t>4600**********2713</t>
  </si>
  <si>
    <t>4600**********0019</t>
  </si>
  <si>
    <t>3308**********3137</t>
  </si>
  <si>
    <t>4602**********5124</t>
  </si>
  <si>
    <t>4600**********2940</t>
  </si>
  <si>
    <t>4600**********6029</t>
  </si>
  <si>
    <t>4600**********7620</t>
  </si>
  <si>
    <t>4600**********3212</t>
  </si>
  <si>
    <t>4600**********4603</t>
  </si>
  <si>
    <t>4600**********4021</t>
  </si>
  <si>
    <t>4690**********0021</t>
  </si>
  <si>
    <t>3702**********4113</t>
  </si>
  <si>
    <t>4600**********8070</t>
  </si>
  <si>
    <t>3603**********2525</t>
  </si>
  <si>
    <t>4602**********5524</t>
  </si>
  <si>
    <t>4602**********4473</t>
  </si>
  <si>
    <t>4601**********092X</t>
  </si>
  <si>
    <t>4600**********4827</t>
  </si>
  <si>
    <t>4600**********2118</t>
  </si>
  <si>
    <t>1521**********2824</t>
  </si>
  <si>
    <t>4107**********1015</t>
  </si>
  <si>
    <t>4600**********8538</t>
  </si>
  <si>
    <t>4600**********8120</t>
  </si>
  <si>
    <t>4690**********0022</t>
  </si>
  <si>
    <t>5110**********6560</t>
  </si>
  <si>
    <t>4600**********5836</t>
  </si>
  <si>
    <t>4602**********4710</t>
  </si>
  <si>
    <t>4600**********7229</t>
  </si>
  <si>
    <t>4602**********6529</t>
  </si>
  <si>
    <t>2109**********3028</t>
  </si>
  <si>
    <t>1424**********2422</t>
  </si>
  <si>
    <t>4325**********643X</t>
  </si>
  <si>
    <t>4600**********0716</t>
  </si>
  <si>
    <t>4600**********0419</t>
  </si>
  <si>
    <t>4600**********4478</t>
  </si>
  <si>
    <t>4600**********4821</t>
  </si>
  <si>
    <t>4602**********0035</t>
  </si>
  <si>
    <t>4602**********4438</t>
  </si>
  <si>
    <t>4600**********0718</t>
  </si>
  <si>
    <t>4405**********2927</t>
  </si>
  <si>
    <t>4602**********4726</t>
  </si>
  <si>
    <t>4602**********0271</t>
  </si>
  <si>
    <t>4602**********3135</t>
  </si>
  <si>
    <t>4600**********0829</t>
  </si>
  <si>
    <t>4310**********7475</t>
  </si>
  <si>
    <t>4304**********0472</t>
  </si>
  <si>
    <t>4602**********3363</t>
  </si>
  <si>
    <t>4602**********5131</t>
  </si>
  <si>
    <t>4600**********6023</t>
  </si>
  <si>
    <t>4128**********4526</t>
  </si>
  <si>
    <t>4603**********0020</t>
  </si>
  <si>
    <t>1404**********2828</t>
  </si>
  <si>
    <t>4600**********4721</t>
  </si>
  <si>
    <t>4600**********101X</t>
  </si>
  <si>
    <t>5111**********2821</t>
  </si>
  <si>
    <t>4602**********1652</t>
  </si>
  <si>
    <t>4601**********3822</t>
  </si>
  <si>
    <t>4600**********1222</t>
  </si>
  <si>
    <t>4600**********4210</t>
  </si>
  <si>
    <t>4602**********0517</t>
  </si>
  <si>
    <t>4690**********1485</t>
  </si>
  <si>
    <t>3709**********1524</t>
  </si>
  <si>
    <t>4602**********573X</t>
  </si>
  <si>
    <t>2302**********0024</t>
  </si>
  <si>
    <t>5226**********202X</t>
  </si>
  <si>
    <t>4602**********470X</t>
  </si>
  <si>
    <t>4600**********122X</t>
  </si>
  <si>
    <t>4600**********0212</t>
  </si>
  <si>
    <t>4602**********5518</t>
  </si>
  <si>
    <t>2101**********3340</t>
  </si>
  <si>
    <t>4690**********6827</t>
  </si>
  <si>
    <t>4600**********3215</t>
  </si>
  <si>
    <t>4690**********2855</t>
  </si>
  <si>
    <t>4104**********2017</t>
  </si>
  <si>
    <t>4602**********0540</t>
  </si>
  <si>
    <t>2308**********0616</t>
  </si>
  <si>
    <t>4452**********276X</t>
  </si>
  <si>
    <t>4600**********5218</t>
  </si>
  <si>
    <t>4600**********5018</t>
  </si>
  <si>
    <t>1522**********0269</t>
  </si>
  <si>
    <t>4690**********7626</t>
  </si>
  <si>
    <t>4602**********444X</t>
  </si>
  <si>
    <t>6201**********152X</t>
  </si>
  <si>
    <t>4452**********1235</t>
  </si>
  <si>
    <t>2311**********0429</t>
  </si>
  <si>
    <t>4600**********4615</t>
  </si>
  <si>
    <t>4228**********4713</t>
  </si>
  <si>
    <t>4600**********1325</t>
  </si>
  <si>
    <t>4602**********4724</t>
  </si>
  <si>
    <t>4602**********3822</t>
  </si>
  <si>
    <t>4690**********4127</t>
  </si>
  <si>
    <t>4601**********2411</t>
  </si>
  <si>
    <t>4600**********478X</t>
  </si>
  <si>
    <t>4600**********321X</t>
  </si>
  <si>
    <t>4601**********3023</t>
  </si>
  <si>
    <t>4602**********5118</t>
  </si>
  <si>
    <t>4690**********7015</t>
  </si>
  <si>
    <t>4600**********7916</t>
  </si>
  <si>
    <t>4602**********0283</t>
  </si>
  <si>
    <t>4602**********3343</t>
  </si>
  <si>
    <t>4600**********1782</t>
  </si>
  <si>
    <t>4600**********2125</t>
  </si>
  <si>
    <t>4690**********2427</t>
  </si>
  <si>
    <t>4401**********4424</t>
  </si>
  <si>
    <t>4690**********4717</t>
  </si>
  <si>
    <t>4600**********7629</t>
  </si>
  <si>
    <t>4602**********0012</t>
  </si>
  <si>
    <t>4601**********3928</t>
  </si>
  <si>
    <t>4601**********242X</t>
  </si>
  <si>
    <t>4600**********4788</t>
  </si>
  <si>
    <t>4600**********3418</t>
  </si>
  <si>
    <t>4602**********1662</t>
  </si>
  <si>
    <t>4600**********4503</t>
  </si>
  <si>
    <t>4600**********0115</t>
  </si>
  <si>
    <t>4600**********5377</t>
  </si>
  <si>
    <t>4600**********5242</t>
  </si>
  <si>
    <t>4600**********4184</t>
  </si>
  <si>
    <t>4602**********0784</t>
  </si>
  <si>
    <t>4602**********2736</t>
  </si>
  <si>
    <t>4201**********0511</t>
  </si>
  <si>
    <t>4601**********2729</t>
  </si>
  <si>
    <t>4600**********3237</t>
  </si>
  <si>
    <t>4600**********4617</t>
  </si>
  <si>
    <t>4602**********571X</t>
  </si>
  <si>
    <t>4211**********052X</t>
  </si>
  <si>
    <t>4600**********2732</t>
  </si>
  <si>
    <t>3624**********1117</t>
  </si>
  <si>
    <t>4690**********0329</t>
  </si>
  <si>
    <t>4600**********0725</t>
  </si>
  <si>
    <t>4600**********2939</t>
  </si>
  <si>
    <t>3729**********0521</t>
  </si>
  <si>
    <t>4600**********4016</t>
  </si>
  <si>
    <t>4602**********0971</t>
  </si>
  <si>
    <t>3414**********0144</t>
  </si>
  <si>
    <t>5137**********6626</t>
  </si>
  <si>
    <t>4690**********3013</t>
  </si>
  <si>
    <t>4690**********3728</t>
  </si>
  <si>
    <t>4602**********3600</t>
  </si>
  <si>
    <t>4600**********1481</t>
  </si>
  <si>
    <t>4600**********3292</t>
  </si>
  <si>
    <t>4600**********421X</t>
  </si>
  <si>
    <t>4600**********3427</t>
  </si>
  <si>
    <t>3208**********1007</t>
  </si>
  <si>
    <t>2301**********1423</t>
  </si>
  <si>
    <t>4600**********2727</t>
  </si>
  <si>
    <t>4600**********1722</t>
  </si>
  <si>
    <t>1401**********182X</t>
  </si>
  <si>
    <t>4602**********2292</t>
  </si>
  <si>
    <t>4600**********4250</t>
  </si>
  <si>
    <t>4600**********5516</t>
  </si>
  <si>
    <t>4600**********442X</t>
  </si>
  <si>
    <t>4600**********0610</t>
  </si>
  <si>
    <t>4408**********3960</t>
  </si>
  <si>
    <t>4600**********5410</t>
  </si>
  <si>
    <t>4600**********7626</t>
  </si>
  <si>
    <t>4600**********2631</t>
  </si>
  <si>
    <t>4600**********5526</t>
  </si>
  <si>
    <t>4306**********1520</t>
  </si>
  <si>
    <t>6105**********0027</t>
  </si>
  <si>
    <t>4602**********3359</t>
  </si>
  <si>
    <t>4600**********521X</t>
  </si>
  <si>
    <t>4600**********4628</t>
  </si>
  <si>
    <t>4600**********454X</t>
  </si>
  <si>
    <t>4408**********551X</t>
  </si>
  <si>
    <t>4600**********833X</t>
  </si>
  <si>
    <t>3713**********0213</t>
  </si>
  <si>
    <t>3303**********4329</t>
  </si>
  <si>
    <t>4600**********8116</t>
  </si>
  <si>
    <t>4206**********6546</t>
  </si>
  <si>
    <t>4600**********0427</t>
  </si>
  <si>
    <t>4600**********8728</t>
  </si>
  <si>
    <t>4600**********004X</t>
  </si>
  <si>
    <t>4600**********6328</t>
  </si>
  <si>
    <t>4600**********4631</t>
  </si>
  <si>
    <t>3604**********5238</t>
  </si>
  <si>
    <t>4600**********4703</t>
  </si>
  <si>
    <t>4600**********3629</t>
  </si>
  <si>
    <t>4600**********5809</t>
  </si>
  <si>
    <t>4600**********3417</t>
  </si>
  <si>
    <t>4602**********4700</t>
  </si>
  <si>
    <t>4690**********2261</t>
  </si>
  <si>
    <t>4113**********6794</t>
  </si>
  <si>
    <t>4601**********0925</t>
  </si>
  <si>
    <t>4600**********5259</t>
  </si>
  <si>
    <t>4600**********3116</t>
  </si>
  <si>
    <t>2201**********0635</t>
  </si>
  <si>
    <t>4690**********4360</t>
  </si>
  <si>
    <t>4602**********004X</t>
  </si>
  <si>
    <t>4603**********0018</t>
  </si>
  <si>
    <t>6530**********0210</t>
  </si>
  <si>
    <t>3207**********4369</t>
  </si>
  <si>
    <t>3604**********0323</t>
  </si>
  <si>
    <t>4602**********1668</t>
  </si>
  <si>
    <t>4600**********1644</t>
  </si>
  <si>
    <t>3623**********3080</t>
  </si>
  <si>
    <t>5001**********8804</t>
  </si>
  <si>
    <t>4600**********2319</t>
  </si>
  <si>
    <t>4690**********2714</t>
  </si>
  <si>
    <t>2308**********0037</t>
  </si>
  <si>
    <t>4690**********0010</t>
  </si>
  <si>
    <t>4302**********102X</t>
  </si>
  <si>
    <t>4602**********4443</t>
  </si>
  <si>
    <t>4210**********3939</t>
  </si>
  <si>
    <t>4602**********3850</t>
  </si>
  <si>
    <t>4600**********2429</t>
  </si>
  <si>
    <t>4602**********4243</t>
  </si>
  <si>
    <t>4603**********0026</t>
  </si>
  <si>
    <t>4601**********1228</t>
  </si>
  <si>
    <t>4600**********023X</t>
  </si>
  <si>
    <t>4600**********5216</t>
  </si>
  <si>
    <t>2309**********2414</t>
  </si>
  <si>
    <t>6201**********0286</t>
  </si>
  <si>
    <t>4601**********0927</t>
  </si>
  <si>
    <t>4600**********2646</t>
  </si>
  <si>
    <t>4600**********5518</t>
  </si>
  <si>
    <t>2306**********1565</t>
  </si>
  <si>
    <t>4690**********6165</t>
  </si>
  <si>
    <t>4601**********3314</t>
  </si>
  <si>
    <t>4600**********2625</t>
  </si>
  <si>
    <t>3522**********692X</t>
  </si>
  <si>
    <t>4602**********4434</t>
  </si>
  <si>
    <t>4600**********1025</t>
  </si>
  <si>
    <t>4690**********4480</t>
  </si>
  <si>
    <t>4305**********6276</t>
  </si>
  <si>
    <t>4601**********181X</t>
  </si>
  <si>
    <t>4128**********0017</t>
  </si>
  <si>
    <t>4600**********0749</t>
  </si>
  <si>
    <t>2308**********1224</t>
  </si>
  <si>
    <t>4600**********8127</t>
  </si>
  <si>
    <t>4600**********8340</t>
  </si>
  <si>
    <t>4600**********6048</t>
  </si>
  <si>
    <t>4508**********1487</t>
  </si>
  <si>
    <t>4602**********3382</t>
  </si>
  <si>
    <t>4600**********3015</t>
  </si>
  <si>
    <t>4602**********2298</t>
  </si>
  <si>
    <t>4602**********5529</t>
  </si>
  <si>
    <t>4600**********5245</t>
  </si>
  <si>
    <t>4602**********1665</t>
  </si>
  <si>
    <t>4602**********3384</t>
  </si>
  <si>
    <t>4601**********5713</t>
  </si>
  <si>
    <t>2202**********2424</t>
  </si>
  <si>
    <t>4416**********2576</t>
  </si>
  <si>
    <t>4602**********3606</t>
  </si>
  <si>
    <t>4601**********0928</t>
  </si>
  <si>
    <t>4600**********480X</t>
  </si>
  <si>
    <t>4600**********0314</t>
  </si>
  <si>
    <t>4600**********4960</t>
  </si>
  <si>
    <t>4602**********2911</t>
  </si>
  <si>
    <t>4601**********0314</t>
  </si>
  <si>
    <t>4603**********0049</t>
  </si>
  <si>
    <t>4602**********5546</t>
  </si>
  <si>
    <t>3723**********5358</t>
  </si>
  <si>
    <t>4601**********1521</t>
  </si>
  <si>
    <t>4600**********4973</t>
  </si>
  <si>
    <t>4600**********3012</t>
  </si>
  <si>
    <t>4600**********3467</t>
  </si>
  <si>
    <t>4600**********4963</t>
  </si>
  <si>
    <t>4602**********4568</t>
  </si>
  <si>
    <t>4690**********7020</t>
  </si>
  <si>
    <t>4600**********7628</t>
  </si>
  <si>
    <t>4600**********2620</t>
  </si>
  <si>
    <t>4600**********038X</t>
  </si>
  <si>
    <t>4690**********2723</t>
  </si>
  <si>
    <t>1523**********3710</t>
  </si>
  <si>
    <t>2311**********0022</t>
  </si>
  <si>
    <t>4600**********7221</t>
  </si>
  <si>
    <t>4600**********3318</t>
  </si>
  <si>
    <t>4600**********6564</t>
  </si>
  <si>
    <t>4600**********2425</t>
  </si>
  <si>
    <t>4600**********1211</t>
  </si>
  <si>
    <t>4600**********7228</t>
  </si>
  <si>
    <t>4601**********0936</t>
  </si>
  <si>
    <t>4690**********4786</t>
  </si>
  <si>
    <t>4600**********3210</t>
  </si>
  <si>
    <t>4600**********0031</t>
  </si>
  <si>
    <t>4108**********4540</t>
  </si>
  <si>
    <t>1529**********0841</t>
  </si>
  <si>
    <t>3604**********0045</t>
  </si>
  <si>
    <t>4602**********3445</t>
  </si>
  <si>
    <t>4601**********3327</t>
  </si>
  <si>
    <t>4600**********3927</t>
  </si>
  <si>
    <t>4600**********4722</t>
  </si>
  <si>
    <t>3715**********6415</t>
  </si>
  <si>
    <t>4600**********4531</t>
  </si>
  <si>
    <t>4115**********0419</t>
  </si>
  <si>
    <t>2306**********0289</t>
  </si>
  <si>
    <t>4602**********4431</t>
  </si>
  <si>
    <t>4600**********1029</t>
  </si>
  <si>
    <t>4602**********4713</t>
  </si>
  <si>
    <t>1304**********3016</t>
  </si>
  <si>
    <t>1201**********006X</t>
  </si>
  <si>
    <t>4600**********702X</t>
  </si>
  <si>
    <t>4600**********4808</t>
  </si>
  <si>
    <t>4600**********5318</t>
  </si>
  <si>
    <t>4602**********2301</t>
  </si>
  <si>
    <t>4600**********1249</t>
  </si>
  <si>
    <t>4600**********0927</t>
  </si>
  <si>
    <t>4601**********4521</t>
  </si>
  <si>
    <t>2301**********1512</t>
  </si>
  <si>
    <t>2310**********2042</t>
  </si>
  <si>
    <t>4690**********3935</t>
  </si>
  <si>
    <t>4601**********391X</t>
  </si>
  <si>
    <t>4600**********1218</t>
  </si>
  <si>
    <t>4690**********7173</t>
  </si>
  <si>
    <t>4600**********0628</t>
  </si>
  <si>
    <t>4600**********4190</t>
  </si>
  <si>
    <t>4600**********253X</t>
  </si>
  <si>
    <t>3622**********0639</t>
  </si>
  <si>
    <t>4209**********0321</t>
  </si>
  <si>
    <t>4600**********7248</t>
  </si>
  <si>
    <t>4600**********561X</t>
  </si>
  <si>
    <t>4600**********4700</t>
  </si>
  <si>
    <t>4600**********3264</t>
  </si>
  <si>
    <t>4600**********6160</t>
  </si>
  <si>
    <t>4601**********0918</t>
  </si>
  <si>
    <t>2390**********1025</t>
  </si>
  <si>
    <t>4600**********5935</t>
  </si>
  <si>
    <t>4600**********3870</t>
  </si>
  <si>
    <t>4600**********3589</t>
  </si>
  <si>
    <t>4600**********1021</t>
  </si>
  <si>
    <t>4109**********3064</t>
  </si>
  <si>
    <t>2321**********0589</t>
  </si>
  <si>
    <t>4600**********4424</t>
  </si>
  <si>
    <t>4311**********033X</t>
  </si>
  <si>
    <t>4600**********1028</t>
  </si>
  <si>
    <t>4602**********4699</t>
  </si>
  <si>
    <t>2201**********1520</t>
  </si>
  <si>
    <t>4600**********667X</t>
  </si>
  <si>
    <t>1426**********1018</t>
  </si>
  <si>
    <t>4600**********2811</t>
  </si>
  <si>
    <t>4600**********7012</t>
  </si>
  <si>
    <t>4602**********3383</t>
  </si>
  <si>
    <t>2308**********0510</t>
  </si>
  <si>
    <t>4602**********1408</t>
  </si>
  <si>
    <t>4600**********4820</t>
  </si>
  <si>
    <t>4453**********213X</t>
  </si>
  <si>
    <t>4602**********5731</t>
  </si>
  <si>
    <t>4600**********3213</t>
  </si>
  <si>
    <t>4600**********4523</t>
  </si>
  <si>
    <t>4600**********6626</t>
  </si>
  <si>
    <t>4602**********4706</t>
  </si>
  <si>
    <t>4601**********1225</t>
  </si>
  <si>
    <t>4602**********3347</t>
  </si>
  <si>
    <t>4602**********5725</t>
  </si>
  <si>
    <t>4600**********3021</t>
  </si>
  <si>
    <t>4409**********5128</t>
  </si>
  <si>
    <t>4602**********4748</t>
  </si>
  <si>
    <t>1504**********2521</t>
  </si>
  <si>
    <t>1301**********1818</t>
  </si>
  <si>
    <t>2101**********031X</t>
  </si>
  <si>
    <t>4600**********0216</t>
  </si>
  <si>
    <t>4600**********5038</t>
  </si>
  <si>
    <t>4602**********3348</t>
  </si>
  <si>
    <t>4408**********861X</t>
  </si>
  <si>
    <t>4600**********4976</t>
  </si>
  <si>
    <t>4600**********2348</t>
  </si>
  <si>
    <t>4602**********1405</t>
  </si>
  <si>
    <t>4600**********0417</t>
  </si>
  <si>
    <t>5226**********1211</t>
  </si>
  <si>
    <t>4690**********2722</t>
  </si>
  <si>
    <t>4600**********0926</t>
  </si>
  <si>
    <t>2303**********5019</t>
  </si>
  <si>
    <t>4690**********0044</t>
  </si>
  <si>
    <t>1303**********331X</t>
  </si>
  <si>
    <t>4690**********7620</t>
  </si>
  <si>
    <t>4600**********7648</t>
  </si>
  <si>
    <t>4600**********3822</t>
  </si>
  <si>
    <t>4600**********9278</t>
  </si>
  <si>
    <t>4128**********5560</t>
  </si>
  <si>
    <t>4602**********3334</t>
  </si>
  <si>
    <t>4690**********901X</t>
  </si>
  <si>
    <t>3412**********0012</t>
  </si>
  <si>
    <t>4602**********5336</t>
  </si>
  <si>
    <t>2308**********0675</t>
  </si>
  <si>
    <t>4690**********1228</t>
  </si>
  <si>
    <t>4600**********0827</t>
  </si>
  <si>
    <t>4452**********244X</t>
  </si>
  <si>
    <t>4690**********0446</t>
  </si>
  <si>
    <t>2310**********3024</t>
  </si>
  <si>
    <t>4601**********1829</t>
  </si>
  <si>
    <t>4600**********361X</t>
  </si>
  <si>
    <t>4600**********2936</t>
  </si>
  <si>
    <t>4510**********2720</t>
  </si>
  <si>
    <t>4401**********5443</t>
  </si>
  <si>
    <t>4690**********7285</t>
  </si>
  <si>
    <t>1201**********0029</t>
  </si>
  <si>
    <t>4690**********463X</t>
  </si>
  <si>
    <t>5113**********0020</t>
  </si>
  <si>
    <t>4602**********5365</t>
  </si>
  <si>
    <t>4128**********0826</t>
  </si>
  <si>
    <t>5002**********0027</t>
  </si>
  <si>
    <t>4412**********0729</t>
  </si>
  <si>
    <t>4600**********405X</t>
  </si>
  <si>
    <t>5221**********2030</t>
  </si>
  <si>
    <t>2201**********4115</t>
  </si>
  <si>
    <t>5201**********361X</t>
  </si>
  <si>
    <t>4601**********1558</t>
  </si>
  <si>
    <t>4600**********3346</t>
  </si>
  <si>
    <t>4602**********0061</t>
  </si>
  <si>
    <t>4600**********2619</t>
  </si>
  <si>
    <t>4600**********4825</t>
  </si>
  <si>
    <t>4600**********8347</t>
  </si>
  <si>
    <t>4601**********0929</t>
  </si>
  <si>
    <t>4600**********3315</t>
  </si>
  <si>
    <t>5002**********0508</t>
  </si>
  <si>
    <t>4600**********1449</t>
  </si>
  <si>
    <t>4110**********4964</t>
  </si>
  <si>
    <t>3705**********0022</t>
  </si>
  <si>
    <t>4602**********2506</t>
  </si>
  <si>
    <t>4601**********122X</t>
  </si>
  <si>
    <t>3607**********3639</t>
  </si>
  <si>
    <t>3412**********5076</t>
  </si>
  <si>
    <t>4602**********165X</t>
  </si>
  <si>
    <t>4409**********3648</t>
  </si>
  <si>
    <t>4201**********5124</t>
  </si>
  <si>
    <t>3213**********081X</t>
  </si>
  <si>
    <t>4600**********0423</t>
  </si>
  <si>
    <t>4600**********3810</t>
  </si>
  <si>
    <t>4690**********0019</t>
  </si>
  <si>
    <t>4325**********0029</t>
  </si>
  <si>
    <t>3717**********6025</t>
  </si>
  <si>
    <t>4600**********449X</t>
  </si>
  <si>
    <t>4600**********1826</t>
  </si>
  <si>
    <t>4690**********5411</t>
  </si>
  <si>
    <t>4130**********2526</t>
  </si>
  <si>
    <t>4600**********2089</t>
  </si>
  <si>
    <t>4600**********7211</t>
  </si>
  <si>
    <t>4602**********4728</t>
  </si>
  <si>
    <t>3412**********4023</t>
  </si>
  <si>
    <t>4690**********602X</t>
  </si>
  <si>
    <t>4600**********7019</t>
  </si>
  <si>
    <t>4602**********3332</t>
  </si>
  <si>
    <t>4602**********5925</t>
  </si>
  <si>
    <t>4601**********3423</t>
  </si>
  <si>
    <t>4602**********2920</t>
  </si>
  <si>
    <t>4128**********2628</t>
  </si>
  <si>
    <t>5303**********2728</t>
  </si>
  <si>
    <t>4690**********6429</t>
  </si>
  <si>
    <t>4600**********5625</t>
  </si>
  <si>
    <t>4600**********2518</t>
  </si>
  <si>
    <t>4601**********0326</t>
  </si>
  <si>
    <t>4600**********3888</t>
  </si>
  <si>
    <t>4600**********4618</t>
  </si>
  <si>
    <t>4602**********4452</t>
  </si>
  <si>
    <t>4600**********8341</t>
  </si>
  <si>
    <t>4512**********0626</t>
  </si>
  <si>
    <t>4600**********1424</t>
  </si>
  <si>
    <t>4408**********0036</t>
  </si>
  <si>
    <t>4690**********2220</t>
  </si>
  <si>
    <t>4601**********0923</t>
  </si>
  <si>
    <t>3714**********0017</t>
  </si>
  <si>
    <t>5137**********2739</t>
  </si>
  <si>
    <t>4600**********4833</t>
  </si>
  <si>
    <t>4600**********5791</t>
  </si>
  <si>
    <t>4600**********761X</t>
  </si>
  <si>
    <t>4690**********7633</t>
  </si>
  <si>
    <t>4408**********3473</t>
  </si>
  <si>
    <t>4601**********0327</t>
  </si>
  <si>
    <t>4600**********781X</t>
  </si>
  <si>
    <t>1302**********005X</t>
  </si>
  <si>
    <t>4600**********7825</t>
  </si>
  <si>
    <t>4602**********0272</t>
  </si>
  <si>
    <t>4602**********2726</t>
  </si>
  <si>
    <t>4602**********0304</t>
  </si>
  <si>
    <t>4600**********724X</t>
  </si>
  <si>
    <t>5117**********6105</t>
  </si>
  <si>
    <t>4601**********002X</t>
  </si>
  <si>
    <t>6226**********0015</t>
  </si>
  <si>
    <t>4603**********0010</t>
  </si>
  <si>
    <t>4690**********481X</t>
  </si>
  <si>
    <t>4602**********1667</t>
  </si>
  <si>
    <t>4600**********7617</t>
  </si>
  <si>
    <t>4600**********496X</t>
  </si>
  <si>
    <t>4114**********8724</t>
  </si>
  <si>
    <t>4600**********2078</t>
  </si>
  <si>
    <t>4600**********3013</t>
  </si>
  <si>
    <t>4114**********7805</t>
  </si>
  <si>
    <t>4600**********0729</t>
  </si>
  <si>
    <t>4600**********4680</t>
  </si>
  <si>
    <t>4600**********4838</t>
  </si>
  <si>
    <t>4600**********0816</t>
  </si>
  <si>
    <t>4508**********6327</t>
  </si>
  <si>
    <t>4600**********5220</t>
  </si>
  <si>
    <t>5201**********0020</t>
  </si>
  <si>
    <t>4602**********0516</t>
  </si>
  <si>
    <t>4600**********5065</t>
  </si>
  <si>
    <t>4600**********8714</t>
  </si>
  <si>
    <t>4210**********5224</t>
  </si>
  <si>
    <t>2310**********2225</t>
  </si>
  <si>
    <t>6228**********0032</t>
  </si>
  <si>
    <t>4600**********5772</t>
  </si>
  <si>
    <t>4600**********0348</t>
  </si>
  <si>
    <t>4600**********062X</t>
  </si>
  <si>
    <t>1307**********0029</t>
  </si>
  <si>
    <t>4600**********5820</t>
  </si>
  <si>
    <t>4600**********6823</t>
  </si>
  <si>
    <t>九级管理岗4</t>
  </si>
  <si>
    <t>三亚市崖州区项目投资服务中心</t>
  </si>
  <si>
    <t>1309**********1414</t>
  </si>
  <si>
    <t>4690**********0923</t>
  </si>
  <si>
    <t>4600**********201X</t>
  </si>
  <si>
    <t>4108**********2553</t>
  </si>
  <si>
    <t>4600**********4499</t>
  </si>
  <si>
    <t>3408**********5231</t>
  </si>
  <si>
    <t>2201**********4133</t>
  </si>
  <si>
    <t>2304**********0227</t>
  </si>
  <si>
    <t>4601**********1821</t>
  </si>
  <si>
    <t>3210**********2418</t>
  </si>
  <si>
    <t>4107**********2520</t>
  </si>
  <si>
    <t>4690**********0062</t>
  </si>
  <si>
    <t>4602**********0296</t>
  </si>
  <si>
    <t>4600**********041X</t>
  </si>
  <si>
    <t>1423**********2262</t>
  </si>
  <si>
    <t>4690**********1921</t>
  </si>
  <si>
    <t>4127**********0915</t>
  </si>
  <si>
    <t>4600**********1627</t>
  </si>
  <si>
    <t>4690**********761X</t>
  </si>
  <si>
    <t>4105**********151X</t>
  </si>
  <si>
    <t>6222**********1211</t>
  </si>
  <si>
    <t>1301**********0062</t>
  </si>
  <si>
    <t>4600**********2889</t>
  </si>
  <si>
    <t>4331**********0039</t>
  </si>
  <si>
    <t>4602**********5537</t>
  </si>
  <si>
    <t>1309**********0923</t>
  </si>
  <si>
    <t>4600**********2273</t>
  </si>
  <si>
    <t>4600**********4513</t>
  </si>
  <si>
    <t>2101**********2427</t>
  </si>
  <si>
    <t>4602**********3834</t>
  </si>
  <si>
    <t>2303**********5359</t>
  </si>
  <si>
    <t>4601**********2725</t>
  </si>
  <si>
    <t>4212**********0051</t>
  </si>
  <si>
    <t>2114**********2423</t>
  </si>
  <si>
    <t>4600**********6014</t>
  </si>
  <si>
    <t>4600**********5411</t>
  </si>
  <si>
    <t>4600**********7613</t>
  </si>
  <si>
    <t>4409**********3219</t>
  </si>
  <si>
    <t>4600**********4818</t>
  </si>
  <si>
    <t>4201**********5826</t>
  </si>
  <si>
    <t>4600**********4320</t>
  </si>
  <si>
    <t>4602**********0524</t>
  </si>
  <si>
    <t>4690**********3268</t>
  </si>
  <si>
    <t>4690**********6023</t>
  </si>
  <si>
    <t>4600**********8516</t>
  </si>
  <si>
    <t>4600**********5225</t>
  </si>
  <si>
    <t>4600**********1416</t>
  </si>
  <si>
    <t>4602**********5710</t>
  </si>
  <si>
    <t>1307**********2935</t>
  </si>
  <si>
    <t>4600**********3247</t>
  </si>
  <si>
    <t>2224**********5228</t>
  </si>
  <si>
    <t>6224**********2614</t>
  </si>
  <si>
    <t>4600**********0080</t>
  </si>
  <si>
    <t>4409**********4306</t>
  </si>
  <si>
    <t>4600**********0312</t>
  </si>
  <si>
    <t>4600**********6630</t>
  </si>
  <si>
    <t>3624**********1521</t>
  </si>
  <si>
    <t>5201**********4426</t>
  </si>
  <si>
    <t>4108**********0052</t>
  </si>
  <si>
    <t>4690**********4474</t>
  </si>
  <si>
    <t>4600**********0989</t>
  </si>
  <si>
    <t>4600**********1817</t>
  </si>
  <si>
    <t>4600**********5635</t>
  </si>
  <si>
    <t>4600**********0224</t>
  </si>
  <si>
    <t>4690**********6112</t>
  </si>
  <si>
    <t>1307**********003X</t>
  </si>
  <si>
    <t>4602**********5911</t>
  </si>
  <si>
    <t>4206**********0042</t>
  </si>
  <si>
    <t>4101**********0036</t>
  </si>
  <si>
    <t>4401**********0911</t>
  </si>
  <si>
    <t>1526**********0226</t>
  </si>
  <si>
    <t>2303**********4727</t>
  </si>
  <si>
    <t>4304**********7219</t>
  </si>
  <si>
    <t>6543**********0514</t>
  </si>
  <si>
    <t>4408**********1185</t>
  </si>
  <si>
    <t>4602**********0533</t>
  </si>
  <si>
    <t>4600**********2346</t>
  </si>
  <si>
    <t>4600**********4023</t>
  </si>
  <si>
    <t>4127**********7161</t>
  </si>
  <si>
    <t>3303**********0018</t>
  </si>
  <si>
    <t>4600**********6037</t>
  </si>
  <si>
    <t>5222**********5057</t>
  </si>
  <si>
    <t>2301**********2227</t>
  </si>
  <si>
    <t>4601**********4122</t>
  </si>
  <si>
    <t>4602**********5540</t>
  </si>
  <si>
    <t>4602**********6321</t>
  </si>
  <si>
    <t>4602**********1192</t>
  </si>
  <si>
    <t>4409**********3472</t>
  </si>
  <si>
    <t>4602**********5374</t>
  </si>
  <si>
    <t>4602**********140X</t>
  </si>
  <si>
    <t>4600**********2136</t>
  </si>
  <si>
    <t>4600**********4027</t>
  </si>
  <si>
    <t>4690**********5635</t>
  </si>
  <si>
    <t>4601**********0627</t>
  </si>
  <si>
    <t>4206**********005X</t>
  </si>
  <si>
    <t>6104**********171X</t>
  </si>
  <si>
    <t>4600**********6611</t>
  </si>
  <si>
    <t>4307**********9029</t>
  </si>
  <si>
    <t>2109**********5752</t>
  </si>
  <si>
    <t>3723**********092X</t>
  </si>
  <si>
    <t>3403**********0051</t>
  </si>
  <si>
    <t>4600**********3891</t>
  </si>
  <si>
    <t>4600**********6663</t>
  </si>
  <si>
    <t>4690**********1652</t>
  </si>
  <si>
    <t>2307**********0336</t>
  </si>
  <si>
    <t>4600**********4216</t>
  </si>
  <si>
    <t>2204**********1220</t>
  </si>
  <si>
    <t>4600**********4850</t>
  </si>
  <si>
    <t>4601**********1539</t>
  </si>
  <si>
    <t>4602**********4742</t>
  </si>
  <si>
    <t>1521**********0029</t>
  </si>
  <si>
    <t>4600**********5262</t>
  </si>
  <si>
    <t>4600**********0884</t>
  </si>
  <si>
    <t>4600**********0710</t>
  </si>
  <si>
    <t>4600**********4610</t>
  </si>
  <si>
    <t>3708**********0322</t>
  </si>
  <si>
    <t>3622**********0625</t>
  </si>
  <si>
    <t>4601**********1818</t>
  </si>
  <si>
    <t>3201**********1210</t>
  </si>
  <si>
    <t>6205**********0828</t>
  </si>
  <si>
    <t>4602**********4709</t>
  </si>
  <si>
    <t>3715**********2429</t>
  </si>
  <si>
    <t>6532**********0025</t>
  </si>
  <si>
    <t>4602**********4481</t>
  </si>
  <si>
    <t>4600**********0619</t>
  </si>
  <si>
    <t>4301**********5872</t>
  </si>
  <si>
    <t>4409**********1220</t>
  </si>
  <si>
    <t>4102**********2998</t>
  </si>
  <si>
    <t>3702**********0020</t>
  </si>
  <si>
    <t>4113**********3314</t>
  </si>
  <si>
    <t>2310**********1017</t>
  </si>
  <si>
    <t>4690**********4966</t>
  </si>
  <si>
    <t>4600**********4810</t>
  </si>
  <si>
    <t>4690**********6853</t>
  </si>
  <si>
    <t>3705**********2319</t>
  </si>
  <si>
    <t>4600**********3221</t>
  </si>
  <si>
    <t>4600**********4242</t>
  </si>
  <si>
    <t>4601**********2711</t>
  </si>
  <si>
    <t>2202**********5625</t>
  </si>
  <si>
    <t>4602**********4912</t>
  </si>
  <si>
    <t>2301**********361X</t>
  </si>
  <si>
    <t>5001**********6528</t>
  </si>
  <si>
    <t>4110**********9050</t>
  </si>
  <si>
    <t>2306**********1829</t>
  </si>
  <si>
    <t>4127**********1578</t>
  </si>
  <si>
    <t>4600**********022X</t>
  </si>
  <si>
    <t>2301**********0743</t>
  </si>
  <si>
    <t>4304**********9707</t>
  </si>
  <si>
    <t>4600**********4826</t>
  </si>
  <si>
    <t>1309**********0045</t>
  </si>
  <si>
    <t>4114**********1815</t>
  </si>
  <si>
    <t>4211**********2037</t>
  </si>
  <si>
    <t>九级管理岗5</t>
  </si>
  <si>
    <t>三亚市崖州区农业农村综合服务中心</t>
  </si>
  <si>
    <t>2306**********1320</t>
  </si>
  <si>
    <t>4602**********1407</t>
  </si>
  <si>
    <t>2301**********092X</t>
  </si>
  <si>
    <t>2202**********1934</t>
  </si>
  <si>
    <t>4600**********4544</t>
  </si>
  <si>
    <t>4110**********7234</t>
  </si>
  <si>
    <t>4600**********1713</t>
  </si>
  <si>
    <t>4600**********3259</t>
  </si>
  <si>
    <t>4113**********5129</t>
  </si>
  <si>
    <t>4690**********7010</t>
  </si>
  <si>
    <t>1502**********242X</t>
  </si>
  <si>
    <t>3425**********1822</t>
  </si>
  <si>
    <t>4600**********1629</t>
  </si>
  <si>
    <t>4600**********2948</t>
  </si>
  <si>
    <t>3304**********2411</t>
  </si>
  <si>
    <t>4690**********0024</t>
  </si>
  <si>
    <t>4114**********0048</t>
  </si>
  <si>
    <t>4600**********424X</t>
  </si>
  <si>
    <t>4600**********2442</t>
  </si>
  <si>
    <t>4690**********4828</t>
  </si>
  <si>
    <t>4602**********447X</t>
  </si>
  <si>
    <t>4690**********084X</t>
  </si>
  <si>
    <t>4600**********0347</t>
  </si>
  <si>
    <t>1403**********1233</t>
  </si>
  <si>
    <t>4601**********3628</t>
  </si>
  <si>
    <t>4325**********3028</t>
  </si>
  <si>
    <t>5137**********0041</t>
  </si>
  <si>
    <t>4602**********6327</t>
  </si>
  <si>
    <t>4600**********2226</t>
  </si>
  <si>
    <t>4600**********0824</t>
  </si>
  <si>
    <t>2310**********0629</t>
  </si>
  <si>
    <t>4600**********4480</t>
  </si>
  <si>
    <t>4690**********478X</t>
  </si>
  <si>
    <t>4602**********0011</t>
  </si>
  <si>
    <t>4117**********7758</t>
  </si>
  <si>
    <t>4602**********3349</t>
  </si>
  <si>
    <t>4602**********4468</t>
  </si>
  <si>
    <t>4690**********6015</t>
  </si>
  <si>
    <t>4600**********3242</t>
  </si>
  <si>
    <t>4690**********0038</t>
  </si>
  <si>
    <t>2301**********2320</t>
  </si>
  <si>
    <t>4602**********3368</t>
  </si>
  <si>
    <t>4600**********4900</t>
  </si>
  <si>
    <t>3714**********5710</t>
  </si>
  <si>
    <t>4600**********5217</t>
  </si>
  <si>
    <t>4602**********2717</t>
  </si>
  <si>
    <t>4602**********4465</t>
  </si>
  <si>
    <t>4602**********5726</t>
  </si>
  <si>
    <t>4602**********0317</t>
  </si>
  <si>
    <t>4102**********4122</t>
  </si>
  <si>
    <t>4601**********0920</t>
  </si>
  <si>
    <t>5002**********4426</t>
  </si>
  <si>
    <t>4600**********441X</t>
  </si>
  <si>
    <t>4600**********2240</t>
  </si>
  <si>
    <t>3408**********2931</t>
  </si>
  <si>
    <t>6106**********0022</t>
  </si>
  <si>
    <t>1426**********1326</t>
  </si>
  <si>
    <t>2301**********0726</t>
  </si>
  <si>
    <t>4601**********7517</t>
  </si>
  <si>
    <t>4600**********233X</t>
  </si>
  <si>
    <t>4600**********5924</t>
  </si>
  <si>
    <t>2201**********0711</t>
  </si>
  <si>
    <t>4600**********0435</t>
  </si>
  <si>
    <t>4112**********0727</t>
  </si>
  <si>
    <t>4127**********8003</t>
  </si>
  <si>
    <t>4600**********153X</t>
  </si>
  <si>
    <t>4601**********271X</t>
  </si>
  <si>
    <t>1304**********3085</t>
  </si>
  <si>
    <t>4451**********5311</t>
  </si>
  <si>
    <t>3406**********364X</t>
  </si>
  <si>
    <t>4101**********5246</t>
  </si>
  <si>
    <t>4690**********3729</t>
  </si>
  <si>
    <t>4408**********2339</t>
  </si>
  <si>
    <t>4602**********296X</t>
  </si>
  <si>
    <t>1402**********5040</t>
  </si>
  <si>
    <t>4690**********6448</t>
  </si>
  <si>
    <t>4602**********5330</t>
  </si>
  <si>
    <t>2323**********0047</t>
  </si>
  <si>
    <t>2323**********2112</t>
  </si>
  <si>
    <t>4602**********2731</t>
  </si>
  <si>
    <t>4602**********3389</t>
  </si>
  <si>
    <t>4601**********1839</t>
  </si>
  <si>
    <t>6103**********3128</t>
  </si>
  <si>
    <t>2302**********0232</t>
  </si>
  <si>
    <t>4600**********7428</t>
  </si>
  <si>
    <t>4602**********1661</t>
  </si>
  <si>
    <t>4602**********0976</t>
  </si>
  <si>
    <t>4600**********5648</t>
  </si>
  <si>
    <t>2308**********494X</t>
  </si>
  <si>
    <t>5202**********9118</t>
  </si>
  <si>
    <t>4602**********5782</t>
  </si>
  <si>
    <t>4105**********3983</t>
  </si>
  <si>
    <t>3623**********0518</t>
  </si>
  <si>
    <t>4600**********0928</t>
  </si>
  <si>
    <t>4600**********1243</t>
  </si>
  <si>
    <t>4414**********6112</t>
  </si>
  <si>
    <t>4600**********5816</t>
  </si>
  <si>
    <t>4600**********5624</t>
  </si>
  <si>
    <t>4405**********1558</t>
  </si>
  <si>
    <t>4690**********1222</t>
  </si>
  <si>
    <t>4600**********0841</t>
  </si>
  <si>
    <t>4602**********3140</t>
  </si>
  <si>
    <t>5002**********5279</t>
  </si>
  <si>
    <t>4418**********1931</t>
  </si>
  <si>
    <t>4600**********2237</t>
  </si>
  <si>
    <t>1523**********0025</t>
  </si>
  <si>
    <t>4600**********0745</t>
  </si>
  <si>
    <t>5002**********7364</t>
  </si>
  <si>
    <t>4602**********4432</t>
  </si>
  <si>
    <t>4602**********5720</t>
  </si>
  <si>
    <t>4309**********6520</t>
  </si>
  <si>
    <t>4602**********0059</t>
  </si>
  <si>
    <t>1402**********1043</t>
  </si>
  <si>
    <t>4690**********5363</t>
  </si>
  <si>
    <t>4402**********6426</t>
  </si>
  <si>
    <t>4602**********0539</t>
  </si>
  <si>
    <t>4601**********3421</t>
  </si>
  <si>
    <t>4600**********0647</t>
  </si>
  <si>
    <t>4602**********3847</t>
  </si>
  <si>
    <t>2103**********0620</t>
  </si>
  <si>
    <t>1427**********0031</t>
  </si>
  <si>
    <t>4603**********003X</t>
  </si>
  <si>
    <t>4690**********4962</t>
  </si>
  <si>
    <t>5301**********0924</t>
  </si>
  <si>
    <t>2301**********4210</t>
  </si>
  <si>
    <t>4600**********2522</t>
  </si>
  <si>
    <t>4600**********3620</t>
  </si>
  <si>
    <t>4690**********4482</t>
  </si>
  <si>
    <t>4600**********2976</t>
  </si>
  <si>
    <t>4690**********2726</t>
  </si>
  <si>
    <t>4209**********7816</t>
  </si>
  <si>
    <t>4600**********4839</t>
  </si>
  <si>
    <t>4113**********1019</t>
  </si>
  <si>
    <t>4600**********0837</t>
  </si>
  <si>
    <t>4602**********2496</t>
  </si>
  <si>
    <t>1401**********3625</t>
  </si>
  <si>
    <t>3709**********0019</t>
  </si>
  <si>
    <t>4601**********3412</t>
  </si>
  <si>
    <t>3704**********0924</t>
  </si>
  <si>
    <t>4601**********1223</t>
  </si>
  <si>
    <t>5101**********1767</t>
  </si>
  <si>
    <t>2201**********9425</t>
  </si>
  <si>
    <t>4600**********687X</t>
  </si>
  <si>
    <t>4690**********0444</t>
  </si>
  <si>
    <t>4331**********4080</t>
  </si>
  <si>
    <t>1410**********0021</t>
  </si>
  <si>
    <t>5130**********2086</t>
  </si>
  <si>
    <t>4415**********6779</t>
  </si>
  <si>
    <t>4600**********2630</t>
  </si>
  <si>
    <t>4600**********1630</t>
  </si>
  <si>
    <t>4310**********0021</t>
  </si>
  <si>
    <t>4602**********4961</t>
  </si>
  <si>
    <t>4201**********1229</t>
  </si>
  <si>
    <t>5139**********5468</t>
  </si>
  <si>
    <t>1427**********001X</t>
  </si>
  <si>
    <t>4600**********4828</t>
  </si>
  <si>
    <t>2306**********056X</t>
  </si>
  <si>
    <t>3303**********0046</t>
  </si>
  <si>
    <t>4603**********0618</t>
  </si>
  <si>
    <t>4600**********2211</t>
  </si>
  <si>
    <t>3624**********8124</t>
  </si>
  <si>
    <t>4602**********5347</t>
  </si>
  <si>
    <t>4601**********246X</t>
  </si>
  <si>
    <t>1301**********1824</t>
  </si>
  <si>
    <t>4600**********6825</t>
  </si>
  <si>
    <t>4600**********4977</t>
  </si>
  <si>
    <t>4325**********6727</t>
  </si>
  <si>
    <t>4602**********5132</t>
  </si>
  <si>
    <t>4690**********3214</t>
  </si>
  <si>
    <t>4602**********1883</t>
  </si>
  <si>
    <t>4600**********7160</t>
  </si>
  <si>
    <t>3412**********1555</t>
  </si>
  <si>
    <t>4601**********0623</t>
  </si>
  <si>
    <t>4690**********1668</t>
  </si>
  <si>
    <t>4690**********7645</t>
  </si>
  <si>
    <t>4290**********0104</t>
  </si>
  <si>
    <t>4600**********0418</t>
  </si>
  <si>
    <t>4601**********0626</t>
  </si>
  <si>
    <t>4206**********3547</t>
  </si>
  <si>
    <t>2301**********0524</t>
  </si>
  <si>
    <t>3507**********2329</t>
  </si>
  <si>
    <t>4601**********2136</t>
  </si>
  <si>
    <t>4690**********5027</t>
  </si>
  <si>
    <t>4690**********1224</t>
  </si>
  <si>
    <t>4600**********0410</t>
  </si>
  <si>
    <t>4690**********442X</t>
  </si>
  <si>
    <t>4600**********2372</t>
  </si>
  <si>
    <t>4600**********3236</t>
  </si>
  <si>
    <t>4600**********2828</t>
  </si>
  <si>
    <t>3408**********5123</t>
  </si>
  <si>
    <t>4600**********4420</t>
  </si>
  <si>
    <t>4600**********3244</t>
  </si>
  <si>
    <t>4115**********3214</t>
  </si>
  <si>
    <t>4111**********841X</t>
  </si>
  <si>
    <t>4600**********354X</t>
  </si>
  <si>
    <t>1304**********2342</t>
  </si>
  <si>
    <t>4601**********1844</t>
  </si>
  <si>
    <t>3412**********2147</t>
  </si>
  <si>
    <t>4602**********5359</t>
  </si>
  <si>
    <t>4211**********2547</t>
  </si>
  <si>
    <t>3203**********5420</t>
  </si>
  <si>
    <t>4211**********2043</t>
  </si>
  <si>
    <t>4600**********2820</t>
  </si>
  <si>
    <t>4602**********119X</t>
  </si>
  <si>
    <t>4690**********564X</t>
  </si>
  <si>
    <t>3723**********3210</t>
  </si>
  <si>
    <t>1311**********0620</t>
  </si>
  <si>
    <t>4601**********1213</t>
  </si>
  <si>
    <t>3707**********4770</t>
  </si>
  <si>
    <t>3308**********4014</t>
  </si>
  <si>
    <t>5201**********1222</t>
  </si>
  <si>
    <t>2206**********0021</t>
  </si>
  <si>
    <t>4602**********2977</t>
  </si>
  <si>
    <t>4690**********3218</t>
  </si>
  <si>
    <t>5221**********2023</t>
  </si>
  <si>
    <t>3412**********0486</t>
  </si>
  <si>
    <t>3709**********0044</t>
  </si>
  <si>
    <t>4602**********5922</t>
  </si>
  <si>
    <t>4600**********7632</t>
  </si>
  <si>
    <t>3709**********2415</t>
  </si>
  <si>
    <t>4600**********2344</t>
  </si>
  <si>
    <t>1304**********1828</t>
  </si>
  <si>
    <t>3307**********558X</t>
  </si>
  <si>
    <t>4325**********4603</t>
  </si>
  <si>
    <t>4602**********0521</t>
  </si>
  <si>
    <t>1302**********3524</t>
  </si>
  <si>
    <t>4602**********3374</t>
  </si>
  <si>
    <t>4409**********1210</t>
  </si>
  <si>
    <t>4600**********5666</t>
  </si>
  <si>
    <t>4602**********0019</t>
  </si>
  <si>
    <t>3703**********2115</t>
  </si>
  <si>
    <t>4600**********5248</t>
  </si>
  <si>
    <t>3601**********4532</t>
  </si>
  <si>
    <t>4690**********0023</t>
  </si>
  <si>
    <t>3408**********8716</t>
  </si>
  <si>
    <t>4600**********1225</t>
  </si>
  <si>
    <t>2112**********1822</t>
  </si>
  <si>
    <t>4602**********1414</t>
  </si>
  <si>
    <t>4600**********6221</t>
  </si>
  <si>
    <t>4600**********0920</t>
  </si>
  <si>
    <t>1302**********2017</t>
  </si>
  <si>
    <t>4690**********212X</t>
  </si>
  <si>
    <t>4208**********0625</t>
  </si>
  <si>
    <t>2113**********0412</t>
  </si>
  <si>
    <t>5115**********5188</t>
  </si>
  <si>
    <t>4690**********7228</t>
  </si>
  <si>
    <t>4600**********4787</t>
  </si>
  <si>
    <t>4290**********0614</t>
  </si>
  <si>
    <t>4601**********0343</t>
  </si>
  <si>
    <t>4690**********4488</t>
  </si>
  <si>
    <t>4115**********2512</t>
  </si>
  <si>
    <t>4603**********0627</t>
  </si>
  <si>
    <t>4602**********5711</t>
  </si>
  <si>
    <t>4600**********4505</t>
  </si>
  <si>
    <t>5001**********1015</t>
  </si>
  <si>
    <t>4600**********2827</t>
  </si>
  <si>
    <t>4600**********3225</t>
  </si>
  <si>
    <t>4128**********4608</t>
  </si>
  <si>
    <t>4601**********124X</t>
  </si>
  <si>
    <t>4600**********7930</t>
  </si>
  <si>
    <t>4600**********563X</t>
  </si>
  <si>
    <t>5224**********242X</t>
  </si>
  <si>
    <t>4602**********2721</t>
  </si>
  <si>
    <t>4600**********6826</t>
  </si>
  <si>
    <t>5003**********0378</t>
  </si>
  <si>
    <t>3713**********4352</t>
  </si>
  <si>
    <t>5304**********0915</t>
  </si>
  <si>
    <t>4690**********1013</t>
  </si>
  <si>
    <t>4600**********2918</t>
  </si>
  <si>
    <t>4600**********0720</t>
  </si>
  <si>
    <t>1404**********0818</t>
  </si>
  <si>
    <t>1502**********302X</t>
  </si>
  <si>
    <t>4601**********0024</t>
  </si>
  <si>
    <t>3702**********4419</t>
  </si>
  <si>
    <t>4600**********1727</t>
  </si>
  <si>
    <t>4600**********5094</t>
  </si>
  <si>
    <t>5002**********8622</t>
  </si>
  <si>
    <t>1304**********6636</t>
  </si>
  <si>
    <t>4600**********1615</t>
  </si>
  <si>
    <t>4602**********2305</t>
  </si>
  <si>
    <t>4325**********5684</t>
  </si>
  <si>
    <t>4600**********2524</t>
  </si>
  <si>
    <t>4602**********5511</t>
  </si>
  <si>
    <t>4600**********1439</t>
  </si>
  <si>
    <t>3301**********1721</t>
  </si>
  <si>
    <t>4601**********0625</t>
  </si>
  <si>
    <t>4600**********3721</t>
  </si>
  <si>
    <t>4600**********0942</t>
  </si>
  <si>
    <t>4600**********2716</t>
  </si>
  <si>
    <t>4127**********2323</t>
  </si>
  <si>
    <t>3729**********001X</t>
  </si>
  <si>
    <t>4114**********1525</t>
  </si>
  <si>
    <t>4504**********2425</t>
  </si>
  <si>
    <t>4600**********7441</t>
  </si>
  <si>
    <t>4115**********2428</t>
  </si>
  <si>
    <t>1411**********0203</t>
  </si>
  <si>
    <t>3209**********0428</t>
  </si>
  <si>
    <t>2310**********4525</t>
  </si>
  <si>
    <t>4600**********0451</t>
  </si>
  <si>
    <t>2321**********2229</t>
  </si>
  <si>
    <t>4103**********9718</t>
  </si>
  <si>
    <t>初中数学教师</t>
  </si>
  <si>
    <t>三亚崖州湾科技城上海世外教育附属外国语学校</t>
  </si>
  <si>
    <t>4522**********0521</t>
  </si>
  <si>
    <t>4690**********4789</t>
  </si>
  <si>
    <t>4600**********4509</t>
  </si>
  <si>
    <t>2309**********0411</t>
  </si>
  <si>
    <t>4127**********5550</t>
  </si>
  <si>
    <t>4504**********0520</t>
  </si>
  <si>
    <t>初中物理教师</t>
  </si>
  <si>
    <t>1503**********352X</t>
  </si>
  <si>
    <t>2201**********0429</t>
  </si>
  <si>
    <t>4600**********092X</t>
  </si>
  <si>
    <t>2208**********0029</t>
  </si>
  <si>
    <t>初中语文教师</t>
  </si>
  <si>
    <t>2201**********1821</t>
  </si>
  <si>
    <t>4602**********2723</t>
  </si>
  <si>
    <t>4600**********0440</t>
  </si>
  <si>
    <t>4600**********1328</t>
  </si>
  <si>
    <t>4600**********2860</t>
  </si>
  <si>
    <t>4105**********252X</t>
  </si>
  <si>
    <t>4602**********4906</t>
  </si>
  <si>
    <t>初中音乐教师</t>
  </si>
  <si>
    <t>4109**********4011</t>
  </si>
  <si>
    <t>4509**********2022</t>
  </si>
  <si>
    <t>6401**********0623</t>
  </si>
  <si>
    <t>2311**********0085</t>
  </si>
  <si>
    <t>4600**********4643</t>
  </si>
  <si>
    <t>4690**********2321</t>
  </si>
  <si>
    <t>4302**********8514</t>
  </si>
  <si>
    <t>4690**********3724</t>
  </si>
  <si>
    <t>初中英语教师</t>
  </si>
  <si>
    <t>4690**********4721</t>
  </si>
  <si>
    <t>2301**********1463</t>
  </si>
  <si>
    <t>4409**********1548</t>
  </si>
  <si>
    <t>2301**********0180</t>
  </si>
  <si>
    <t>4113**********0044</t>
  </si>
  <si>
    <t>初中化学教师</t>
  </si>
  <si>
    <t>4600**********6581</t>
  </si>
  <si>
    <t>4602**********0526</t>
  </si>
  <si>
    <t>4690**********6225</t>
  </si>
  <si>
    <t>4600**********0868</t>
  </si>
  <si>
    <t>4690**********4626</t>
  </si>
  <si>
    <t>3402**********2384</t>
  </si>
  <si>
    <t>4602**********3828</t>
  </si>
  <si>
    <t>1504**********2423</t>
  </si>
  <si>
    <t>4690**********4558</t>
  </si>
  <si>
    <t>4600**********3909</t>
  </si>
  <si>
    <t>4600**********3283</t>
  </si>
  <si>
    <t>4600**********2748</t>
  </si>
  <si>
    <t>初中历史教师</t>
  </si>
  <si>
    <t>4115**********1127</t>
  </si>
  <si>
    <t>4600**********3824</t>
  </si>
  <si>
    <t>4600**********0822</t>
  </si>
  <si>
    <t>4600**********3840</t>
  </si>
  <si>
    <t>4690**********7260</t>
  </si>
  <si>
    <t>4600**********6228</t>
  </si>
  <si>
    <t>小学心理健康教师</t>
  </si>
  <si>
    <t>4310**********2229</t>
  </si>
  <si>
    <t>4601**********7123</t>
  </si>
  <si>
    <t>3708**********5225</t>
  </si>
  <si>
    <t>4600**********4829</t>
  </si>
  <si>
    <t>3610**********4110</t>
  </si>
  <si>
    <t>4600**********778X</t>
  </si>
  <si>
    <t>4600**********7623</t>
  </si>
  <si>
    <t>1523**********0542</t>
  </si>
  <si>
    <t>4690**********302X</t>
  </si>
  <si>
    <t>4600**********4220</t>
  </si>
  <si>
    <t>2321**********5826</t>
  </si>
  <si>
    <t>1305**********2048</t>
  </si>
  <si>
    <t>4600**********2528</t>
  </si>
  <si>
    <t>3411**********7037</t>
  </si>
  <si>
    <t>4600**********3049</t>
  </si>
  <si>
    <t>4602**********5361</t>
  </si>
  <si>
    <t>4600**********2647</t>
  </si>
  <si>
    <t>4600**********4127</t>
  </si>
  <si>
    <t>4509**********0825</t>
  </si>
  <si>
    <t>4690**********6084</t>
  </si>
  <si>
    <t>4600**********0846</t>
  </si>
  <si>
    <t>1304**********248X</t>
  </si>
  <si>
    <t>4690**********802X</t>
  </si>
  <si>
    <t>4690**********1662</t>
  </si>
  <si>
    <t>1304**********2930</t>
  </si>
  <si>
    <t>3509**********0043</t>
  </si>
  <si>
    <t>6501**********2810</t>
  </si>
  <si>
    <t>6101**********1540</t>
  </si>
  <si>
    <t>4600**********451X</t>
  </si>
  <si>
    <t>4600**********3626</t>
  </si>
  <si>
    <t>4311**********3223</t>
  </si>
  <si>
    <t>4690**********2426</t>
  </si>
  <si>
    <t>4601**********2127</t>
  </si>
  <si>
    <t>小学英语教师</t>
  </si>
  <si>
    <t>4600**********2421</t>
  </si>
  <si>
    <t>4600**********4528</t>
  </si>
  <si>
    <t>4600**********0249</t>
  </si>
  <si>
    <t>4600**********3886</t>
  </si>
  <si>
    <t>4601**********1227</t>
  </si>
  <si>
    <t>2307**********062X</t>
  </si>
  <si>
    <t>4600**********0223</t>
  </si>
  <si>
    <t>4602**********632X</t>
  </si>
  <si>
    <t>5001**********8044</t>
  </si>
  <si>
    <t>3607**********5862</t>
  </si>
  <si>
    <t>4600**********3440</t>
  </si>
  <si>
    <t>4600**********4175</t>
  </si>
  <si>
    <t>4600**********2683</t>
  </si>
  <si>
    <t>6227**********0021</t>
  </si>
  <si>
    <t>4601**********3633</t>
  </si>
  <si>
    <t>3601**********0442</t>
  </si>
  <si>
    <t>3622**********764X</t>
  </si>
  <si>
    <t>4690**********2727</t>
  </si>
  <si>
    <t>2323**********0827</t>
  </si>
  <si>
    <t>1301**********0041</t>
  </si>
  <si>
    <t>3309**********0020</t>
  </si>
  <si>
    <t>3610**********4925</t>
  </si>
  <si>
    <t>4600**********232X</t>
  </si>
  <si>
    <t>小学美术教师</t>
  </si>
  <si>
    <t>1401**********1521</t>
  </si>
  <si>
    <t>1424**********1812</t>
  </si>
  <si>
    <t>4600**********5686</t>
  </si>
  <si>
    <t>4302**********0441</t>
  </si>
  <si>
    <t>4690**********7014</t>
  </si>
  <si>
    <t>4690**********0814</t>
  </si>
  <si>
    <t>5202**********4968</t>
  </si>
  <si>
    <t>4602**********5522</t>
  </si>
  <si>
    <t>6228**********3423</t>
  </si>
  <si>
    <t>1427**********0020</t>
  </si>
  <si>
    <t>4601**********0620</t>
  </si>
  <si>
    <t>4102**********1526</t>
  </si>
  <si>
    <t>6542**********0035</t>
  </si>
  <si>
    <t>4128**********6023</t>
  </si>
  <si>
    <t>1411**********0025</t>
  </si>
  <si>
    <t>4600**********1522</t>
  </si>
  <si>
    <t>1426**********3029</t>
  </si>
  <si>
    <t>4600**********6218</t>
  </si>
  <si>
    <t>2302**********0921</t>
  </si>
  <si>
    <t>4600**********2618</t>
  </si>
  <si>
    <t>4600**********0528</t>
  </si>
  <si>
    <t>4600**********152X</t>
  </si>
  <si>
    <t>4601**********2755</t>
  </si>
  <si>
    <t>1503**********1029</t>
  </si>
  <si>
    <t>1502**********4215</t>
  </si>
  <si>
    <t>5224**********5046</t>
  </si>
  <si>
    <t>4304**********1548</t>
  </si>
  <si>
    <t>4600**********7320</t>
  </si>
  <si>
    <t>4115**********004X</t>
  </si>
  <si>
    <t>4310**********0023</t>
  </si>
  <si>
    <t>4600**********0228</t>
  </si>
  <si>
    <t>4600**********0917</t>
  </si>
  <si>
    <t>4600**********0214</t>
  </si>
  <si>
    <t>2201**********3131</t>
  </si>
  <si>
    <t>2301**********1629</t>
  </si>
  <si>
    <t>1301**********002X</t>
  </si>
  <si>
    <t>4600**********3815</t>
  </si>
  <si>
    <t>4602**********4264</t>
  </si>
  <si>
    <t>4600**********5388</t>
  </si>
  <si>
    <t>4600**********5247</t>
  </si>
  <si>
    <t>4331**********551X</t>
  </si>
  <si>
    <t>4600**********0062</t>
  </si>
  <si>
    <t>5222**********0027</t>
  </si>
  <si>
    <t>4690**********4485</t>
  </si>
  <si>
    <t>4210**********1621</t>
  </si>
  <si>
    <t>4408**********1513</t>
  </si>
  <si>
    <t>4408**********0446</t>
  </si>
  <si>
    <t>1427**********0040</t>
  </si>
  <si>
    <t>小学音乐教师</t>
  </si>
  <si>
    <t>4600**********4020</t>
  </si>
  <si>
    <t>1427**********1260</t>
  </si>
  <si>
    <t>4203**********0039</t>
  </si>
  <si>
    <t>4302**********5025</t>
  </si>
  <si>
    <t>4302**********0516</t>
  </si>
  <si>
    <t>4600**********2128</t>
  </si>
  <si>
    <t>1501**********7344</t>
  </si>
  <si>
    <t>4600**********5944</t>
  </si>
  <si>
    <t>4323**********6626</t>
  </si>
  <si>
    <t>1422**********9185</t>
  </si>
  <si>
    <t>4600**********0883</t>
  </si>
  <si>
    <t>5002**********8285</t>
  </si>
  <si>
    <t>2305**********3628</t>
  </si>
  <si>
    <t>2306**********5923</t>
  </si>
  <si>
    <t>4690**********2228</t>
  </si>
  <si>
    <t>4127**********3062</t>
  </si>
  <si>
    <t>4514**********3025</t>
  </si>
  <si>
    <t>2301**********1262</t>
  </si>
  <si>
    <t>4600**********2224</t>
  </si>
  <si>
    <t>4600**********3010</t>
  </si>
  <si>
    <t>3624**********0025</t>
  </si>
  <si>
    <t>4600**********4527</t>
  </si>
  <si>
    <t>4127**********0107</t>
  </si>
  <si>
    <t>3412**********1517</t>
  </si>
  <si>
    <t>4600**********1179</t>
  </si>
  <si>
    <t>4600**********0889</t>
  </si>
  <si>
    <t>3401**********5043</t>
  </si>
  <si>
    <t>1401**********2525</t>
  </si>
  <si>
    <t>4600**********2160</t>
  </si>
  <si>
    <t>4600**********3124</t>
  </si>
  <si>
    <t>4600**********5821</t>
  </si>
  <si>
    <t>4600**********7489</t>
  </si>
  <si>
    <t>4600**********8123</t>
  </si>
  <si>
    <t>4600**********6810</t>
  </si>
  <si>
    <t>4600**********2525</t>
  </si>
  <si>
    <t>6226**********1729</t>
  </si>
  <si>
    <t>2323**********0623</t>
  </si>
  <si>
    <t>5303**********1522</t>
  </si>
  <si>
    <t>4600**********0621</t>
  </si>
  <si>
    <t>4302**********0121</t>
  </si>
  <si>
    <t>1502**********2720</t>
  </si>
  <si>
    <t>4690**********3521</t>
  </si>
  <si>
    <t>4331**********0147</t>
  </si>
  <si>
    <t>3310**********4062</t>
  </si>
  <si>
    <t>4306**********8920</t>
  </si>
  <si>
    <t>4600**********0047</t>
  </si>
  <si>
    <t>3412**********1624</t>
  </si>
  <si>
    <t>5326**********1525</t>
  </si>
  <si>
    <t>3707**********0324</t>
  </si>
  <si>
    <t>1422**********0749</t>
  </si>
  <si>
    <t>4408**********3522</t>
  </si>
  <si>
    <t>4600**********3911</t>
  </si>
  <si>
    <t>4601**********1820</t>
  </si>
  <si>
    <t>1301**********4525</t>
  </si>
  <si>
    <t>4603**********0321</t>
  </si>
  <si>
    <t>1526**********0126</t>
  </si>
  <si>
    <t>2306**********411X</t>
  </si>
  <si>
    <t>3203**********7059</t>
  </si>
  <si>
    <t>4325**********1023</t>
  </si>
  <si>
    <t>4418**********1425</t>
  </si>
  <si>
    <t>4690**********3228</t>
  </si>
  <si>
    <t>4108**********0064</t>
  </si>
  <si>
    <t>3506**********2728</t>
  </si>
  <si>
    <t>4600**********032X</t>
  </si>
  <si>
    <t>5227**********0035</t>
  </si>
  <si>
    <t>4602**********1180</t>
  </si>
  <si>
    <t>4600**********2634</t>
  </si>
  <si>
    <t>4690**********331X</t>
  </si>
  <si>
    <t>2207**********2045</t>
  </si>
  <si>
    <t>4600**********7641</t>
  </si>
  <si>
    <t>4600**********5843</t>
  </si>
  <si>
    <t>4600**********3426</t>
  </si>
  <si>
    <t>1527**********0046</t>
  </si>
  <si>
    <t>4600**********3410</t>
  </si>
  <si>
    <t>4304**********1024</t>
  </si>
  <si>
    <t>6103**********2222</t>
  </si>
  <si>
    <t>4305**********0014</t>
  </si>
  <si>
    <t>4600**********2826</t>
  </si>
  <si>
    <t>4603**********0029</t>
  </si>
  <si>
    <t>4600**********6420</t>
  </si>
  <si>
    <t>2323**********0328</t>
  </si>
  <si>
    <t>6205**********0013</t>
  </si>
  <si>
    <t>6529**********0023</t>
  </si>
  <si>
    <t>4206**********0514</t>
  </si>
  <si>
    <t>2104**********3825</t>
  </si>
  <si>
    <t>1410**********0020</t>
  </si>
  <si>
    <t>4600**********2444</t>
  </si>
  <si>
    <t>4600**********4667</t>
  </si>
  <si>
    <t>3604**********0044</t>
  </si>
  <si>
    <t>4108**********7564</t>
  </si>
  <si>
    <t>1401**********0022</t>
  </si>
  <si>
    <t>4690**********5215</t>
  </si>
  <si>
    <t>小学科学教师</t>
  </si>
  <si>
    <t>4600**********0627</t>
  </si>
  <si>
    <t>4601**********2111</t>
  </si>
  <si>
    <t>4600**********6421</t>
  </si>
  <si>
    <t>4600**********4729</t>
  </si>
  <si>
    <t>4690**********1220</t>
  </si>
  <si>
    <t>5222**********0425</t>
  </si>
  <si>
    <t>4602**********3846</t>
  </si>
  <si>
    <t>4600**********6422</t>
  </si>
  <si>
    <t>4405**********1224</t>
  </si>
  <si>
    <t>3325**********6510</t>
  </si>
  <si>
    <t>2112**********7122</t>
  </si>
  <si>
    <t>4600**********5805</t>
  </si>
  <si>
    <t>4600**********182X</t>
  </si>
  <si>
    <t>4505**********0066</t>
  </si>
  <si>
    <t>4312**********0120</t>
  </si>
  <si>
    <t>4600**********0040</t>
  </si>
  <si>
    <t>4690**********724X</t>
  </si>
  <si>
    <t>4600**********8723</t>
  </si>
  <si>
    <t>4600**********0429</t>
  </si>
  <si>
    <t>4601**********2721</t>
  </si>
  <si>
    <t>4303**********0088</t>
  </si>
  <si>
    <t>高中语文教师</t>
  </si>
  <si>
    <t>三亚崖州湾科技城寰岛实验中学</t>
  </si>
  <si>
    <t>4504**********3548</t>
  </si>
  <si>
    <t>3509**********0024</t>
  </si>
  <si>
    <t>4601**********032X</t>
  </si>
  <si>
    <t>4115**********3628</t>
  </si>
  <si>
    <t>4311**********7641</t>
  </si>
  <si>
    <t>4211**********2024</t>
  </si>
  <si>
    <t>4308**********2228</t>
  </si>
  <si>
    <t>3704**********0015</t>
  </si>
  <si>
    <t>3625**********0844</t>
  </si>
  <si>
    <t>4600**********0622</t>
  </si>
  <si>
    <t>4690**********2425</t>
  </si>
  <si>
    <t>4600**********4033</t>
  </si>
  <si>
    <t>4310**********5167</t>
  </si>
  <si>
    <t>4602**********2727</t>
  </si>
  <si>
    <t>4600**********0326</t>
  </si>
  <si>
    <t>4600**********6649</t>
  </si>
  <si>
    <t>4602**********4474</t>
  </si>
  <si>
    <t>4602**********382X</t>
  </si>
  <si>
    <t>2202**********414X</t>
  </si>
  <si>
    <t>3412**********1761</t>
  </si>
  <si>
    <t>2106**********492X</t>
  </si>
  <si>
    <t>4600**********1125</t>
  </si>
  <si>
    <t>4601**********7527</t>
  </si>
  <si>
    <t>4600**********7614</t>
  </si>
  <si>
    <t>4602**********3346</t>
  </si>
  <si>
    <t>4505**********0546</t>
  </si>
  <si>
    <t>4600**********3820</t>
  </si>
  <si>
    <t>4600**********7222</t>
  </si>
  <si>
    <t>4600**********3324</t>
  </si>
  <si>
    <t>6328**********322X</t>
  </si>
  <si>
    <t>4600**********2627</t>
  </si>
  <si>
    <t>5225**********0085</t>
  </si>
  <si>
    <t>4690**********5624</t>
  </si>
  <si>
    <t>4526**********4402</t>
  </si>
  <si>
    <t>4600**********5426</t>
  </si>
  <si>
    <t>1308**********2826</t>
  </si>
  <si>
    <t>4600**********1648</t>
  </si>
  <si>
    <t>2311**********6649</t>
  </si>
  <si>
    <t>4690**********2420</t>
  </si>
  <si>
    <t>4600**********5622</t>
  </si>
  <si>
    <t>4690**********7621</t>
  </si>
  <si>
    <t>4600**********6925</t>
  </si>
  <si>
    <t>4690**********2720</t>
  </si>
  <si>
    <t>6529**********0022</t>
  </si>
  <si>
    <t>4600**********3623</t>
  </si>
  <si>
    <t>2311**********4127</t>
  </si>
  <si>
    <t>4600**********5849</t>
  </si>
  <si>
    <t>4690**********2423</t>
  </si>
  <si>
    <t>4600**********4285</t>
  </si>
  <si>
    <t>4600**********3848</t>
  </si>
  <si>
    <t>4600**********5371</t>
  </si>
  <si>
    <t>6222**********3625</t>
  </si>
  <si>
    <t>5108**********0727</t>
  </si>
  <si>
    <t>3710**********1521</t>
  </si>
  <si>
    <t>3729**********6826</t>
  </si>
  <si>
    <t>4601**********2420</t>
  </si>
  <si>
    <t>2306**********0214</t>
  </si>
  <si>
    <t>4113**********6929</t>
  </si>
  <si>
    <t>4600**********0343</t>
  </si>
  <si>
    <t>4600**********0921</t>
  </si>
  <si>
    <t>4305**********0062</t>
  </si>
  <si>
    <t>2301**********6320</t>
  </si>
  <si>
    <t>4408**********1968</t>
  </si>
  <si>
    <t>4690**********7622</t>
  </si>
  <si>
    <t>3426**********1705</t>
  </si>
  <si>
    <t>4600**********0037</t>
  </si>
  <si>
    <t>2107**********1229</t>
  </si>
  <si>
    <t>4600**********3421</t>
  </si>
  <si>
    <t>4600**********3920</t>
  </si>
  <si>
    <t>2311**********4322</t>
  </si>
  <si>
    <t>4690**********4960</t>
  </si>
  <si>
    <t>4690**********226X</t>
  </si>
  <si>
    <t>4602**********1400</t>
  </si>
  <si>
    <t>4109**********1024</t>
  </si>
  <si>
    <t>5116**********6894</t>
  </si>
  <si>
    <t>4501**********0340</t>
  </si>
  <si>
    <t>4117**********3023</t>
  </si>
  <si>
    <t>4600**********4429</t>
  </si>
  <si>
    <t>4600**********1212</t>
  </si>
  <si>
    <t>2302**********4620</t>
  </si>
  <si>
    <t>1424**********0329</t>
  </si>
  <si>
    <t>4690**********7265</t>
  </si>
  <si>
    <t>4690**********0020</t>
  </si>
  <si>
    <t>4600**********3963</t>
  </si>
  <si>
    <t>5303**********1524</t>
  </si>
  <si>
    <t>4503**********5524</t>
  </si>
  <si>
    <t>5202**********0026</t>
  </si>
  <si>
    <t>4690**********4620</t>
  </si>
  <si>
    <t>4602**********3149</t>
  </si>
  <si>
    <t>4405**********4143</t>
  </si>
  <si>
    <t>5221**********5925</t>
  </si>
  <si>
    <t>4690**********0027</t>
  </si>
  <si>
    <t>4600**********5281</t>
  </si>
  <si>
    <t>4306**********6389</t>
  </si>
  <si>
    <t>4600**********7024</t>
  </si>
  <si>
    <t>4601**********3424</t>
  </si>
  <si>
    <t>4600**********2324</t>
  </si>
  <si>
    <t>4600**********6229</t>
  </si>
  <si>
    <t>2113**********0432</t>
  </si>
  <si>
    <t>3605**********3649</t>
  </si>
  <si>
    <t>4602**********0029</t>
  </si>
  <si>
    <t>4600**********1426</t>
  </si>
  <si>
    <t>4600**********2724</t>
  </si>
  <si>
    <t>4601**********1867</t>
  </si>
  <si>
    <t>4600**********4782</t>
  </si>
  <si>
    <t>4600**********6685</t>
  </si>
  <si>
    <t>4690**********4772</t>
  </si>
  <si>
    <t>4690**********0025</t>
  </si>
  <si>
    <t>3402**********0021</t>
  </si>
  <si>
    <t>4690**********1627</t>
  </si>
  <si>
    <t>2301**********1845</t>
  </si>
  <si>
    <t>4602**********3166</t>
  </si>
  <si>
    <t>4600**********8429</t>
  </si>
  <si>
    <t>4600**********3861</t>
  </si>
  <si>
    <t>4602**********3829</t>
  </si>
  <si>
    <t>4600**********4183</t>
  </si>
  <si>
    <t>2224**********5025</t>
  </si>
  <si>
    <t>4600**********4848</t>
  </si>
  <si>
    <t>4600**********5629</t>
  </si>
  <si>
    <t>4600**********0966</t>
  </si>
  <si>
    <t>5110**********1787</t>
  </si>
  <si>
    <t>4600**********6022</t>
  </si>
  <si>
    <t>5329**********0724</t>
  </si>
  <si>
    <t>4690**********4469</t>
  </si>
  <si>
    <t>5002**********4689</t>
  </si>
  <si>
    <t>5115**********5917</t>
  </si>
  <si>
    <t>4409**********0108</t>
  </si>
  <si>
    <t>高中数学教师</t>
  </si>
  <si>
    <t>3425**********2627</t>
  </si>
  <si>
    <t>4600**********7219</t>
  </si>
  <si>
    <t>1423**********364X</t>
  </si>
  <si>
    <t>4305**********2025</t>
  </si>
  <si>
    <t>4690**********7222</t>
  </si>
  <si>
    <t>4690**********437X</t>
  </si>
  <si>
    <t>1424**********6344</t>
  </si>
  <si>
    <t>4108**********2524</t>
  </si>
  <si>
    <t>2112**********0015</t>
  </si>
  <si>
    <t>4690**********4829</t>
  </si>
  <si>
    <t>4307**********0021</t>
  </si>
  <si>
    <t>3625**********3034</t>
  </si>
  <si>
    <t>4115**********6923</t>
  </si>
  <si>
    <t>4600**********3267</t>
  </si>
  <si>
    <t>4602**********4487</t>
  </si>
  <si>
    <t>4114**********3327</t>
  </si>
  <si>
    <t>4109**********4062</t>
  </si>
  <si>
    <t>2323**********0618</t>
  </si>
  <si>
    <t>4127**********0450</t>
  </si>
  <si>
    <t>4102**********0048</t>
  </si>
  <si>
    <t>4600**********5230</t>
  </si>
  <si>
    <t>4600**********2466</t>
  </si>
  <si>
    <t>4128**********6819</t>
  </si>
  <si>
    <t>4602**********3845</t>
  </si>
  <si>
    <t>4601**********3920</t>
  </si>
  <si>
    <t>4601**********152X</t>
  </si>
  <si>
    <t>4208**********6118</t>
  </si>
  <si>
    <t>4505**********0765</t>
  </si>
  <si>
    <t>3424**********4227</t>
  </si>
  <si>
    <t>5325**********0684</t>
  </si>
  <si>
    <t>3604**********2568</t>
  </si>
  <si>
    <t>4690**********6727</t>
  </si>
  <si>
    <t>4601**********1347</t>
  </si>
  <si>
    <t>4114**********3049</t>
  </si>
  <si>
    <t>2201**********5721</t>
  </si>
  <si>
    <t>4690**********4983</t>
  </si>
  <si>
    <t>4307**********0030</t>
  </si>
  <si>
    <t>4600**********3245</t>
  </si>
  <si>
    <t>3708**********1624</t>
  </si>
  <si>
    <t>2323**********6825</t>
  </si>
  <si>
    <t>4109**********4081</t>
  </si>
  <si>
    <t>4107**********0547</t>
  </si>
  <si>
    <t>2224**********2127</t>
  </si>
  <si>
    <t>4600**********4121</t>
  </si>
  <si>
    <t>4690**********6126</t>
  </si>
  <si>
    <t>3622**********7341</t>
  </si>
  <si>
    <t>4602**********5525</t>
  </si>
  <si>
    <t>4417**********4115</t>
  </si>
  <si>
    <t>4600**********7519</t>
  </si>
  <si>
    <t>2103**********2328</t>
  </si>
  <si>
    <t>1427**********3638</t>
  </si>
  <si>
    <t>4690**********2798</t>
  </si>
  <si>
    <t>2201**********1849</t>
  </si>
  <si>
    <t>4409**********5858</t>
  </si>
  <si>
    <t>3303**********5166</t>
  </si>
  <si>
    <t>1326**********0032</t>
  </si>
  <si>
    <t>4600**********0526</t>
  </si>
  <si>
    <t>4104**********5540</t>
  </si>
  <si>
    <t>1310**********0083</t>
  </si>
  <si>
    <t>4600**********3867</t>
  </si>
  <si>
    <t>2207**********5627</t>
  </si>
  <si>
    <t>2201**********1227</t>
  </si>
  <si>
    <t>高中英语教师</t>
  </si>
  <si>
    <t>4690**********7624</t>
  </si>
  <si>
    <t>6104**********094X</t>
  </si>
  <si>
    <t>1521**********7213</t>
  </si>
  <si>
    <t>2102**********8121</t>
  </si>
  <si>
    <t>4600**********042X</t>
  </si>
  <si>
    <t>2301**********1616</t>
  </si>
  <si>
    <t>4311**********1325</t>
  </si>
  <si>
    <t>4509**********0019</t>
  </si>
  <si>
    <t>4600**********7820</t>
  </si>
  <si>
    <t>4600**********2121</t>
  </si>
  <si>
    <t>5109**********3528</t>
  </si>
  <si>
    <t>4602**********2508</t>
  </si>
  <si>
    <t>1311**********4626</t>
  </si>
  <si>
    <t>1311**********2024</t>
  </si>
  <si>
    <t>6107**********0422</t>
  </si>
  <si>
    <t>6124**********0548</t>
  </si>
  <si>
    <t>2304**********0124</t>
  </si>
  <si>
    <t>3310**********3700</t>
  </si>
  <si>
    <t>4306**********0027</t>
  </si>
  <si>
    <t>5002**********2223</t>
  </si>
  <si>
    <t>1401**********0047</t>
  </si>
  <si>
    <t>4600**********4444</t>
  </si>
  <si>
    <t>5111**********0737</t>
  </si>
  <si>
    <t>5326**********0019</t>
  </si>
  <si>
    <t>3708**********0023</t>
  </si>
  <si>
    <t>2203**********6580</t>
  </si>
  <si>
    <t>2106**********822X</t>
  </si>
  <si>
    <t>4601**********1823</t>
  </si>
  <si>
    <t>1301**********1529</t>
  </si>
  <si>
    <t>4602**********4488</t>
  </si>
  <si>
    <t>4310**********0028</t>
  </si>
  <si>
    <t>4600**********2027</t>
  </si>
  <si>
    <t>4602**********2072</t>
  </si>
  <si>
    <t>4206**********5826</t>
  </si>
  <si>
    <t>6543**********3928</t>
  </si>
  <si>
    <t>4311**********7681</t>
  </si>
  <si>
    <t>5001**********3829</t>
  </si>
  <si>
    <t>4600**********0707</t>
  </si>
  <si>
    <t>3416**********6020</t>
  </si>
  <si>
    <t>3625**********0424</t>
  </si>
  <si>
    <t>4601**********031X</t>
  </si>
  <si>
    <t>1311**********1225</t>
  </si>
  <si>
    <t>2305**********2116</t>
  </si>
  <si>
    <t>6201**********0028</t>
  </si>
  <si>
    <t>3625**********2066</t>
  </si>
  <si>
    <t>4304**********8801</t>
  </si>
  <si>
    <t>1202**********0644</t>
  </si>
  <si>
    <t>5221**********6819</t>
  </si>
  <si>
    <t>4301**********9064</t>
  </si>
  <si>
    <t>4600**********2026</t>
  </si>
  <si>
    <t>4600**********1625</t>
  </si>
  <si>
    <t>4602**********078X</t>
  </si>
  <si>
    <t>4600**********3425</t>
  </si>
  <si>
    <t>4601**********3324</t>
  </si>
  <si>
    <t>4600**********5981</t>
  </si>
  <si>
    <t>4600**********1825</t>
  </si>
  <si>
    <t>4690**********0047</t>
  </si>
  <si>
    <t>3603**********3023</t>
  </si>
  <si>
    <t>4690**********1226</t>
  </si>
  <si>
    <t>3623**********4026</t>
  </si>
  <si>
    <t>4600**********3227</t>
  </si>
  <si>
    <t>4290**********002X</t>
  </si>
  <si>
    <t>4601**********0622</t>
  </si>
  <si>
    <t>5003**********3448</t>
  </si>
  <si>
    <t>4290**********1828</t>
  </si>
  <si>
    <t>4690**********4964</t>
  </si>
  <si>
    <t>4331**********204X</t>
  </si>
  <si>
    <t>4600**********5623</t>
  </si>
  <si>
    <t>1521**********5940</t>
  </si>
  <si>
    <t>4600**********6622</t>
  </si>
  <si>
    <t>高中物理教师</t>
  </si>
  <si>
    <t>4107**********3826</t>
  </si>
  <si>
    <t>4602**********4430</t>
  </si>
  <si>
    <t>4600**********2642</t>
  </si>
  <si>
    <t>4600**********4857</t>
  </si>
  <si>
    <t>4600**********2111</t>
  </si>
  <si>
    <t>5105**********1252</t>
  </si>
  <si>
    <t>4600**********5103</t>
  </si>
  <si>
    <t>4690**********2360</t>
  </si>
  <si>
    <t>2310**********0535</t>
  </si>
  <si>
    <t>5115**********305X</t>
  </si>
  <si>
    <t>2308**********2924</t>
  </si>
  <si>
    <t>2310**********1025</t>
  </si>
  <si>
    <t>4690**********0413</t>
  </si>
  <si>
    <t>5329**********071X</t>
  </si>
  <si>
    <t>2390**********2825</t>
  </si>
  <si>
    <t>高中化学教师</t>
  </si>
  <si>
    <t>4600**********7427</t>
  </si>
  <si>
    <t>4602**********4723</t>
  </si>
  <si>
    <t>4504**********0029</t>
  </si>
  <si>
    <t>4600**********5104</t>
  </si>
  <si>
    <t>4690**********0414</t>
  </si>
  <si>
    <t>4600**********0219</t>
  </si>
  <si>
    <t>4600**********2088</t>
  </si>
  <si>
    <t>3412**********4955</t>
  </si>
  <si>
    <t>4600**********3246</t>
  </si>
  <si>
    <t>2109**********3022</t>
  </si>
  <si>
    <t>4600**********4028</t>
  </si>
  <si>
    <t>4602**********4265</t>
  </si>
  <si>
    <t>4600**********1720</t>
  </si>
  <si>
    <t>4600**********391X</t>
  </si>
  <si>
    <t>4600**********8423</t>
  </si>
  <si>
    <t>4600**********1810</t>
  </si>
  <si>
    <t>5221**********1221</t>
  </si>
  <si>
    <t>4600**********5023</t>
  </si>
  <si>
    <t>4600**********7188</t>
  </si>
  <si>
    <t>4690**********6423</t>
  </si>
  <si>
    <t>4690**********372X</t>
  </si>
  <si>
    <t>2310**********0724</t>
  </si>
  <si>
    <t>5117**********3168</t>
  </si>
  <si>
    <t>4107**********0048</t>
  </si>
  <si>
    <t>4600**********5042</t>
  </si>
  <si>
    <t>4600**********8720</t>
  </si>
  <si>
    <t>4600**********682X</t>
  </si>
  <si>
    <t>4600**********5801</t>
  </si>
  <si>
    <t>4600**********5369</t>
  </si>
  <si>
    <t>4602**********5340</t>
  </si>
  <si>
    <t>4600**********6616</t>
  </si>
  <si>
    <t>2310**********2727</t>
  </si>
  <si>
    <t>4600**********164X</t>
  </si>
  <si>
    <t>4305**********5269</t>
  </si>
  <si>
    <t>4600**********3229</t>
  </si>
  <si>
    <t>4690**********4822</t>
  </si>
  <si>
    <t>6223**********3737</t>
  </si>
  <si>
    <t>4690**********3723</t>
  </si>
  <si>
    <t>4602**********1686</t>
  </si>
  <si>
    <t>4600**********5818</t>
  </si>
  <si>
    <t>4602**********5127</t>
  </si>
  <si>
    <t>4600**********1680</t>
  </si>
  <si>
    <t>4690**********5782</t>
  </si>
  <si>
    <t>4601**********1221</t>
  </si>
  <si>
    <t>3607**********6829</t>
  </si>
  <si>
    <t>4602**********4483</t>
  </si>
  <si>
    <t>4600**********4749</t>
  </si>
  <si>
    <t>4690**********722X</t>
  </si>
  <si>
    <t>3624**********4411</t>
  </si>
  <si>
    <t>4690**********2229</t>
  </si>
  <si>
    <t>5002**********6672</t>
  </si>
  <si>
    <t>4600**********7264</t>
  </si>
  <si>
    <t>4690**********5227</t>
  </si>
  <si>
    <t>高中生物教师</t>
  </si>
  <si>
    <t>3505**********7445</t>
  </si>
  <si>
    <t>5224**********1047</t>
  </si>
  <si>
    <t>4600**********5421</t>
  </si>
  <si>
    <t>1406**********9845</t>
  </si>
  <si>
    <t>4128**********004X</t>
  </si>
  <si>
    <t>4527**********2422</t>
  </si>
  <si>
    <t>1304**********1328</t>
  </si>
  <si>
    <t>4600**********5120</t>
  </si>
  <si>
    <t>4601**********2621</t>
  </si>
  <si>
    <t>4418**********1445</t>
  </si>
  <si>
    <t>6204**********4163</t>
  </si>
  <si>
    <t>4452**********4323</t>
  </si>
  <si>
    <t>3206**********3441</t>
  </si>
  <si>
    <t>4128**********4847</t>
  </si>
  <si>
    <t>4690**********2786</t>
  </si>
  <si>
    <t>4307**********1163</t>
  </si>
  <si>
    <t>4600**********4488</t>
  </si>
  <si>
    <t>3408**********0118</t>
  </si>
  <si>
    <t>5224**********2685</t>
  </si>
  <si>
    <t>4602**********0975</t>
  </si>
  <si>
    <t>4602**********5745</t>
  </si>
  <si>
    <t>1424**********0922</t>
  </si>
  <si>
    <t>1301**********2429</t>
  </si>
  <si>
    <t>2205**********0040</t>
  </si>
  <si>
    <t>4309**********4662</t>
  </si>
  <si>
    <t>4600**********4039</t>
  </si>
  <si>
    <t>4501**********6328</t>
  </si>
  <si>
    <t>4602**********4461</t>
  </si>
  <si>
    <t>4600**********2648</t>
  </si>
  <si>
    <t>4600**********2107</t>
  </si>
  <si>
    <t>4600**********044X</t>
  </si>
  <si>
    <t>4110**********6520</t>
  </si>
  <si>
    <t>4600**********6824</t>
  </si>
  <si>
    <t>4600**********3223</t>
  </si>
  <si>
    <t>5306**********0066</t>
  </si>
  <si>
    <t>4211**********3343</t>
  </si>
  <si>
    <t>4600**********2621</t>
  </si>
  <si>
    <t>4308**********006X</t>
  </si>
  <si>
    <t>5002**********7902</t>
  </si>
  <si>
    <t>4208**********4049</t>
  </si>
  <si>
    <t>4405**********6933</t>
  </si>
  <si>
    <t>4209**********1445</t>
  </si>
  <si>
    <t>4211**********7223</t>
  </si>
  <si>
    <t>4600**********4529</t>
  </si>
  <si>
    <t>3504**********2526</t>
  </si>
  <si>
    <t>4600**********6484</t>
  </si>
  <si>
    <t>4602**********1201</t>
  </si>
  <si>
    <t>2307**********0027</t>
  </si>
  <si>
    <t>4690**********2416</t>
  </si>
  <si>
    <t>4600**********2225</t>
  </si>
  <si>
    <t>4310**********1841</t>
  </si>
  <si>
    <t>2311**********4613</t>
  </si>
  <si>
    <t>4602**********1660</t>
  </si>
  <si>
    <t>4601**********751X</t>
  </si>
  <si>
    <t>4600**********0940</t>
  </si>
  <si>
    <t>4690**********1621</t>
  </si>
  <si>
    <t>2301**********3241</t>
  </si>
  <si>
    <t>2309**********0847</t>
  </si>
  <si>
    <t>4690**********4961</t>
  </si>
  <si>
    <t>2311**********3944</t>
  </si>
  <si>
    <t>高中思想政治教师</t>
  </si>
  <si>
    <t>2306**********0853</t>
  </si>
  <si>
    <t>1304**********2120</t>
  </si>
  <si>
    <t>4690**********1920</t>
  </si>
  <si>
    <t>4600**********7411</t>
  </si>
  <si>
    <t>4105**********0835</t>
  </si>
  <si>
    <t>4601**********3629</t>
  </si>
  <si>
    <t>4522**********2521</t>
  </si>
  <si>
    <t>4600**********2021</t>
  </si>
  <si>
    <t>4690**********482X</t>
  </si>
  <si>
    <t>4600**********4221</t>
  </si>
  <si>
    <t>4600**********301X</t>
  </si>
  <si>
    <t>4602**********4467</t>
  </si>
  <si>
    <t>4690**********6227</t>
  </si>
  <si>
    <t>1306**********0923</t>
  </si>
  <si>
    <t>1309**********5420</t>
  </si>
  <si>
    <t>4331**********5826</t>
  </si>
  <si>
    <t>5224**********442X</t>
  </si>
  <si>
    <t>4690**********6221</t>
  </si>
  <si>
    <t>4600**********2221</t>
  </si>
  <si>
    <t>4602**********2087</t>
  </si>
  <si>
    <t>5117**********0546</t>
  </si>
  <si>
    <t>1407**********0086</t>
  </si>
  <si>
    <t>4108**********8600</t>
  </si>
  <si>
    <t>4690**********5621</t>
  </si>
  <si>
    <t>4601**********7512</t>
  </si>
  <si>
    <t>4690**********5120</t>
  </si>
  <si>
    <t>4409**********6303</t>
  </si>
  <si>
    <t>3622**********0191</t>
  </si>
  <si>
    <t>4408**********1478</t>
  </si>
  <si>
    <t>5227**********2822</t>
  </si>
  <si>
    <t>4600**********6818</t>
  </si>
  <si>
    <t>4600**********659X</t>
  </si>
  <si>
    <t>4690**********5617</t>
  </si>
  <si>
    <t>1402**********0023</t>
  </si>
  <si>
    <t>4690**********4123</t>
  </si>
  <si>
    <t>1521**********3920</t>
  </si>
  <si>
    <t>2112**********1040</t>
  </si>
  <si>
    <t>4601**********2425</t>
  </si>
  <si>
    <t>4690**********576X</t>
  </si>
  <si>
    <t>4600**********5523</t>
  </si>
  <si>
    <t>4600**********2765</t>
  </si>
  <si>
    <t>4690**********3321</t>
  </si>
  <si>
    <t>高中历史教师</t>
  </si>
  <si>
    <t>4509**********1425</t>
  </si>
  <si>
    <t>2105**********2123</t>
  </si>
  <si>
    <t>4690**********0045</t>
  </si>
  <si>
    <t>5003**********6725</t>
  </si>
  <si>
    <t>4600**********4837</t>
  </si>
  <si>
    <t>4600**********3323</t>
  </si>
  <si>
    <t>4600**********0925</t>
  </si>
  <si>
    <t>4602**********6122</t>
  </si>
  <si>
    <t>2304**********0830</t>
  </si>
  <si>
    <t>4105**********0023</t>
  </si>
  <si>
    <t>5221**********3513</t>
  </si>
  <si>
    <t>4690**********4103</t>
  </si>
  <si>
    <t>5111**********2027</t>
  </si>
  <si>
    <t>4106**********8522</t>
  </si>
  <si>
    <t>2201**********2624</t>
  </si>
  <si>
    <t>4601**********0340</t>
  </si>
  <si>
    <t>4600**********0239</t>
  </si>
  <si>
    <t>4205**********3326</t>
  </si>
  <si>
    <t>4600**********3286</t>
  </si>
  <si>
    <t>4601**********1817</t>
  </si>
  <si>
    <t>2112**********2225</t>
  </si>
  <si>
    <t>4600**********2626</t>
  </si>
  <si>
    <t>4452**********0013</t>
  </si>
  <si>
    <t>4408**********2926</t>
  </si>
  <si>
    <t>4602**********512X</t>
  </si>
  <si>
    <t>4600**********3586</t>
  </si>
  <si>
    <t>4601**********3319</t>
  </si>
  <si>
    <t>4601**********5028</t>
  </si>
  <si>
    <t>2203**********0452</t>
  </si>
  <si>
    <t>4690**********9523</t>
  </si>
  <si>
    <t>4690**********4993</t>
  </si>
  <si>
    <t>4331**********0064</t>
  </si>
  <si>
    <t>4508**********7429</t>
  </si>
  <si>
    <t>4600**********5360</t>
  </si>
  <si>
    <t>4228**********0630</t>
  </si>
  <si>
    <t>4602**********4725</t>
  </si>
  <si>
    <t>4113**********0113</t>
  </si>
  <si>
    <t>4107**********2513</t>
  </si>
  <si>
    <t>4690**********3881</t>
  </si>
  <si>
    <t>4524**********1243</t>
  </si>
  <si>
    <t>3203**********4911</t>
  </si>
  <si>
    <t>高中体育教师</t>
  </si>
  <si>
    <t>4600**********6114</t>
  </si>
  <si>
    <t>4203**********2046</t>
  </si>
  <si>
    <t>4307**********6056</t>
  </si>
  <si>
    <t>4690**********1519</t>
  </si>
  <si>
    <t>2205**********1019</t>
  </si>
  <si>
    <t>4302**********4234</t>
  </si>
  <si>
    <t>4602**********273X</t>
  </si>
  <si>
    <t>4602**********0532</t>
  </si>
  <si>
    <t>4600**********3011</t>
  </si>
  <si>
    <t>4108**********0038</t>
  </si>
  <si>
    <t>4600**********2122</t>
  </si>
  <si>
    <t>4600**********7818</t>
  </si>
  <si>
    <t>4600**********4450</t>
  </si>
  <si>
    <t>4408**********2915</t>
  </si>
  <si>
    <t>1526**********1210</t>
  </si>
  <si>
    <t>1306**********4075</t>
  </si>
  <si>
    <t>1307**********4641</t>
  </si>
  <si>
    <t>4600**********021X</t>
  </si>
  <si>
    <t>1306**********0938</t>
  </si>
  <si>
    <t>4600**********4459</t>
  </si>
  <si>
    <t>3602**********102X</t>
  </si>
  <si>
    <t>4690**********0018</t>
  </si>
  <si>
    <t>2306**********0920</t>
  </si>
  <si>
    <t>4600**********4971</t>
  </si>
  <si>
    <t>3408**********1328</t>
  </si>
  <si>
    <t>5309**********1428</t>
  </si>
  <si>
    <t>4600**********2919</t>
  </si>
  <si>
    <t>2302**********5239</t>
  </si>
  <si>
    <t>5224**********8263</t>
  </si>
  <si>
    <t>4690**********1317</t>
  </si>
  <si>
    <t>5002**********585X</t>
  </si>
  <si>
    <t>3603**********0010</t>
  </si>
  <si>
    <t>4690**********3248</t>
  </si>
  <si>
    <t>4600**********3424</t>
  </si>
  <si>
    <t>1304**********0324</t>
  </si>
  <si>
    <t>4113**********0076</t>
  </si>
  <si>
    <t>4408**********5784</t>
  </si>
  <si>
    <t>4600**********2110</t>
  </si>
  <si>
    <t>1521**********483X</t>
  </si>
  <si>
    <t>4600**********5418</t>
  </si>
  <si>
    <t>2205**********2211</t>
  </si>
  <si>
    <t>4600**********2515</t>
  </si>
  <si>
    <t>4600**********2317</t>
  </si>
  <si>
    <t>4600**********1533</t>
  </si>
  <si>
    <t>4309**********7942</t>
  </si>
  <si>
    <t>4600**********0919</t>
  </si>
  <si>
    <t>4690**********2319</t>
  </si>
  <si>
    <t>4104**********0011</t>
  </si>
  <si>
    <t>3504**********6513</t>
  </si>
  <si>
    <t>4305**********1549</t>
  </si>
  <si>
    <t>4600**********3574</t>
  </si>
  <si>
    <t>4304**********1223</t>
  </si>
  <si>
    <t>4600**********3316</t>
  </si>
  <si>
    <t>4601**********121X</t>
  </si>
  <si>
    <t>3607**********2011</t>
  </si>
  <si>
    <t>4111**********8154</t>
  </si>
  <si>
    <t>4123**********4217</t>
  </si>
  <si>
    <t>5331**********1610</t>
  </si>
  <si>
    <t>4600**********0411</t>
  </si>
  <si>
    <t>2310**********0029</t>
  </si>
  <si>
    <t>4690**********2917</t>
  </si>
  <si>
    <t>4601**********2735</t>
  </si>
  <si>
    <t>4110**********0517</t>
  </si>
  <si>
    <t>4600**********4453</t>
  </si>
  <si>
    <t>3624**********3743</t>
  </si>
  <si>
    <t>3702**********6612</t>
  </si>
  <si>
    <t>4600**********1217</t>
  </si>
  <si>
    <t>4600**********3740</t>
  </si>
  <si>
    <t>4601**********331X</t>
  </si>
  <si>
    <t>4690**********2112</t>
  </si>
  <si>
    <t>4690**********4810</t>
  </si>
  <si>
    <t>4600**********4454</t>
  </si>
  <si>
    <t>5115**********6812</t>
  </si>
  <si>
    <t>2205**********0614</t>
  </si>
  <si>
    <t>4600**********4996</t>
  </si>
  <si>
    <t>4690**********7497</t>
  </si>
  <si>
    <t>4600**********5917</t>
  </si>
  <si>
    <t>3729**********517X</t>
  </si>
  <si>
    <t>4600**********6411</t>
  </si>
  <si>
    <t>4602**********3864</t>
  </si>
  <si>
    <t>4600**********231X</t>
  </si>
  <si>
    <t>2202**********0313</t>
  </si>
  <si>
    <t>1405**********0013</t>
  </si>
  <si>
    <t>4600**********3612</t>
  </si>
  <si>
    <t>3702**********0414</t>
  </si>
  <si>
    <t>3522**********3556</t>
  </si>
  <si>
    <t>4690**********0474</t>
  </si>
  <si>
    <t>4600**********2734</t>
  </si>
  <si>
    <t>3717**********5198</t>
  </si>
  <si>
    <t>4600**********7814</t>
  </si>
  <si>
    <t>4305**********8222</t>
  </si>
  <si>
    <t>3625**********4584</t>
  </si>
  <si>
    <t>4205**********2418</t>
  </si>
  <si>
    <t>4600**********1931</t>
  </si>
  <si>
    <t>4210**********4119</t>
  </si>
  <si>
    <t>4690**********1219</t>
  </si>
  <si>
    <t>1422**********6316</t>
  </si>
  <si>
    <t>4109**********0019</t>
  </si>
  <si>
    <t>4690**********7483</t>
  </si>
  <si>
    <t>4601**********1511</t>
  </si>
  <si>
    <t>3506**********003X</t>
  </si>
  <si>
    <t>4600**********1214</t>
  </si>
  <si>
    <t>4690**********0917</t>
  </si>
  <si>
    <t>4306**********2419</t>
  </si>
  <si>
    <t>4602**********0314</t>
  </si>
  <si>
    <t>4600**********3117</t>
  </si>
  <si>
    <t>初中地理教师</t>
  </si>
  <si>
    <t>三亚市崖城中学</t>
  </si>
  <si>
    <t>4600**********7619</t>
  </si>
  <si>
    <t>4304**********0054</t>
  </si>
  <si>
    <t>4690**********3247</t>
  </si>
  <si>
    <t>4600**********3570</t>
  </si>
  <si>
    <t>4602**********318X</t>
  </si>
  <si>
    <t>4600**********3767</t>
  </si>
  <si>
    <t>2301**********0423</t>
  </si>
  <si>
    <t>2202**********8612</t>
  </si>
  <si>
    <t>4309**********752X</t>
  </si>
  <si>
    <t>4600**********2690</t>
  </si>
  <si>
    <t>4600**********4042</t>
  </si>
  <si>
    <t>4600**********1664</t>
  </si>
  <si>
    <t>4600**********7481</t>
  </si>
  <si>
    <t>4600**********4425</t>
  </si>
  <si>
    <t>4601**********2741</t>
  </si>
  <si>
    <t>初中道德与法治教师</t>
  </si>
  <si>
    <t>三亚市崖州区南滨中学</t>
  </si>
  <si>
    <t>6223**********1623</t>
  </si>
  <si>
    <t>4601**********2745</t>
  </si>
  <si>
    <t>4600**********8122</t>
  </si>
  <si>
    <t>4602**********1206</t>
  </si>
  <si>
    <t>4601**********212X</t>
  </si>
  <si>
    <t>4452**********2223</t>
  </si>
  <si>
    <t>4690**********7625</t>
  </si>
  <si>
    <t>6541**********482X</t>
  </si>
  <si>
    <t>4113**********204X</t>
  </si>
  <si>
    <t>4600**********0922</t>
  </si>
  <si>
    <t>4690**********8109</t>
  </si>
  <si>
    <t>4600**********5628</t>
  </si>
  <si>
    <t>5301**********254X</t>
  </si>
  <si>
    <t>4601**********2628</t>
  </si>
  <si>
    <t>4213**********0421</t>
  </si>
  <si>
    <t>4602**********3168</t>
  </si>
  <si>
    <t>4690**********3523</t>
  </si>
  <si>
    <t>4600**********4474</t>
  </si>
  <si>
    <t>4600**********5980</t>
  </si>
  <si>
    <t>4600**********616X</t>
  </si>
  <si>
    <t>4690**********0424</t>
  </si>
  <si>
    <t>4600**********6225</t>
  </si>
  <si>
    <t>4690**********4120</t>
  </si>
  <si>
    <t>初中体育教师</t>
  </si>
  <si>
    <t>1423**********6614</t>
  </si>
  <si>
    <t>4600**********7716</t>
  </si>
  <si>
    <t>4690**********3734</t>
  </si>
  <si>
    <t>2309**********1228</t>
  </si>
  <si>
    <t>4602**********3376</t>
  </si>
  <si>
    <t>4206**********6833</t>
  </si>
  <si>
    <t>1426**********1716</t>
  </si>
  <si>
    <t>4101**********3012</t>
  </si>
  <si>
    <t>4304**********3839</t>
  </si>
  <si>
    <t>4600**********2017</t>
  </si>
  <si>
    <t>4408**********1698</t>
  </si>
  <si>
    <t>5225**********0520</t>
  </si>
  <si>
    <t>2302**********0616</t>
  </si>
  <si>
    <t>6124**********0625</t>
  </si>
  <si>
    <t>4600**********6613</t>
  </si>
  <si>
    <t>4600**********0234</t>
  </si>
  <si>
    <t>4600**********2930</t>
  </si>
  <si>
    <t>4600**********6017</t>
  </si>
  <si>
    <t>4602**********3811</t>
  </si>
  <si>
    <t>4600**********6610</t>
  </si>
  <si>
    <t>4600**********3613</t>
  </si>
  <si>
    <t>4600**********7216</t>
  </si>
  <si>
    <t>4602**********4242</t>
  </si>
  <si>
    <t>4600**********2610</t>
  </si>
  <si>
    <t>4690**********3726</t>
  </si>
  <si>
    <t>4690**********2110</t>
  </si>
  <si>
    <t>4690**********9012</t>
  </si>
  <si>
    <t>4408**********1459</t>
  </si>
  <si>
    <t>4505**********6910</t>
  </si>
  <si>
    <t>4107**********2773</t>
  </si>
  <si>
    <t>4690**********6877</t>
  </si>
  <si>
    <t>4600**********0319</t>
  </si>
  <si>
    <t>4600**********2712</t>
  </si>
  <si>
    <t>3101**********0010</t>
  </si>
  <si>
    <t>4301**********0822</t>
  </si>
  <si>
    <t>4690**********601X</t>
  </si>
  <si>
    <t>4600**********4412</t>
  </si>
  <si>
    <t>4600**********0313</t>
  </si>
  <si>
    <t>4690**********2873</t>
  </si>
  <si>
    <t>4101**********3054</t>
  </si>
  <si>
    <t>1401**********5134</t>
  </si>
  <si>
    <t>6523**********3014</t>
  </si>
  <si>
    <t>4690**********1227</t>
  </si>
  <si>
    <t>2306**********0060</t>
  </si>
  <si>
    <t>4600**********4991</t>
  </si>
  <si>
    <t>4600**********4202</t>
  </si>
  <si>
    <t>6223**********0234</t>
  </si>
  <si>
    <t>初中音乐（舞蹈）教师</t>
  </si>
  <si>
    <t>4690**********5021</t>
  </si>
  <si>
    <t>4600**********1829</t>
  </si>
  <si>
    <t>2114**********0029</t>
  </si>
  <si>
    <t>4331**********2421</t>
  </si>
  <si>
    <t>4600**********3628</t>
  </si>
  <si>
    <t>4690**********6420</t>
  </si>
  <si>
    <t>4690**********5648</t>
  </si>
  <si>
    <t>4601**********2144</t>
  </si>
  <si>
    <t>4600**********2241</t>
  </si>
  <si>
    <t>4600**********4120</t>
  </si>
  <si>
    <t>4600**********3019</t>
  </si>
  <si>
    <t>4600**********5317</t>
  </si>
  <si>
    <t>4600**********2123</t>
  </si>
  <si>
    <t>1301**********1825</t>
  </si>
  <si>
    <t>4602**********2502</t>
  </si>
  <si>
    <t>1502**********0922</t>
  </si>
  <si>
    <t>4690**********0028</t>
  </si>
  <si>
    <t>3708**********3344</t>
  </si>
  <si>
    <t>5119**********672X</t>
  </si>
  <si>
    <t>4600**********3923</t>
  </si>
  <si>
    <t>4509**********3441</t>
  </si>
  <si>
    <t>1502**********0089</t>
  </si>
  <si>
    <t>4600**********3624</t>
  </si>
  <si>
    <t>4600**********4622</t>
  </si>
  <si>
    <t>4690**********0945</t>
  </si>
  <si>
    <t>4600**********0043</t>
  </si>
  <si>
    <t>4600**********4432</t>
  </si>
  <si>
    <t>初中美术教师</t>
  </si>
  <si>
    <t>2310**********2321</t>
  </si>
  <si>
    <t>6228**********0427</t>
  </si>
  <si>
    <t>4201**********002X</t>
  </si>
  <si>
    <t>4331**********0034</t>
  </si>
  <si>
    <t>4102**********1323</t>
  </si>
  <si>
    <t>4600**********3437</t>
  </si>
  <si>
    <t>1305**********3614</t>
  </si>
  <si>
    <t>4307**********623X</t>
  </si>
  <si>
    <t>1526**********374X</t>
  </si>
  <si>
    <t>1406**********0515</t>
  </si>
  <si>
    <t>3425**********0536</t>
  </si>
  <si>
    <t>4600**********5722</t>
  </si>
  <si>
    <t>4690**********5323</t>
  </si>
  <si>
    <t>3506**********5525</t>
  </si>
  <si>
    <t>3607**********4128</t>
  </si>
  <si>
    <t>4308**********5265</t>
  </si>
  <si>
    <t>4600**********0626</t>
  </si>
  <si>
    <t>6422**********0020</t>
  </si>
  <si>
    <t>4600**********4423</t>
  </si>
  <si>
    <t>5224**********2011</t>
  </si>
  <si>
    <t>1426**********3010</t>
  </si>
  <si>
    <t>4414**********4812</t>
  </si>
  <si>
    <t>4600**********511X</t>
  </si>
  <si>
    <t>4600**********4469</t>
  </si>
  <si>
    <t>4600**********5825</t>
  </si>
  <si>
    <t>4600**********1726</t>
  </si>
  <si>
    <t>5321**********2425</t>
  </si>
  <si>
    <t>4521**********4921</t>
  </si>
  <si>
    <t>4602**********2921</t>
  </si>
  <si>
    <t>3325**********0421</t>
  </si>
  <si>
    <t>4690**********3205</t>
  </si>
  <si>
    <t>4690**********5628</t>
  </si>
  <si>
    <t>4602**********3813</t>
  </si>
  <si>
    <t>4113**********4125</t>
  </si>
  <si>
    <t>1424**********2729</t>
  </si>
  <si>
    <t>4128**********1667</t>
  </si>
  <si>
    <t>3611**********2728</t>
  </si>
  <si>
    <t>6103**********2021</t>
  </si>
  <si>
    <t>4101**********0205</t>
  </si>
  <si>
    <t>3729**********6940</t>
  </si>
  <si>
    <t>4690**********5123</t>
  </si>
  <si>
    <t>4600**********4797</t>
  </si>
  <si>
    <t>3714**********4624</t>
  </si>
  <si>
    <t>4600**********8416</t>
  </si>
  <si>
    <t>4600**********1729</t>
  </si>
  <si>
    <t>4408**********083X</t>
  </si>
  <si>
    <t>4600**********6423</t>
  </si>
  <si>
    <t>4408**********2837</t>
  </si>
  <si>
    <t>2303**********4021</t>
  </si>
  <si>
    <t>4110**********502X</t>
  </si>
  <si>
    <t>4201**********2126</t>
  </si>
  <si>
    <t>2323**********0024</t>
  </si>
  <si>
    <t>3607**********6044</t>
  </si>
  <si>
    <t>5224**********6411</t>
  </si>
  <si>
    <t>4600**********7529</t>
  </si>
  <si>
    <t>2201**********1547</t>
  </si>
  <si>
    <t>5321**********0761</t>
  </si>
  <si>
    <t>4301**********0820</t>
  </si>
  <si>
    <t>4104**********5523</t>
  </si>
  <si>
    <t>4202**********0062</t>
  </si>
  <si>
    <t>4203**********152X</t>
  </si>
  <si>
    <t>3607**********0023</t>
  </si>
  <si>
    <t>4110**********5525</t>
  </si>
  <si>
    <t>5109**********0020</t>
  </si>
  <si>
    <t>3703**********5916</t>
  </si>
  <si>
    <t>3203**********6044</t>
  </si>
  <si>
    <t>3205**********0015</t>
  </si>
  <si>
    <t>4107**********1024</t>
  </si>
  <si>
    <t>1311**********0844</t>
  </si>
  <si>
    <t>4600**********7786</t>
  </si>
  <si>
    <t>4307**********5420</t>
  </si>
  <si>
    <t>4600**********722X</t>
  </si>
  <si>
    <t>4601**********3625</t>
  </si>
  <si>
    <t>4600**********3882</t>
  </si>
  <si>
    <t>4602**********551X</t>
  </si>
  <si>
    <t>2201**********0669</t>
  </si>
  <si>
    <t>4602**********4926</t>
  </si>
  <si>
    <t>4600**********481X</t>
  </si>
  <si>
    <t>4602**********5121</t>
  </si>
  <si>
    <t>5002**********5024</t>
  </si>
  <si>
    <t>4690**********0826</t>
  </si>
  <si>
    <t>4690**********7649</t>
  </si>
  <si>
    <t>4600**********2320</t>
  </si>
  <si>
    <t>4600**********7187</t>
  </si>
  <si>
    <t>4690**********1323</t>
  </si>
  <si>
    <t>4600**********4785</t>
  </si>
  <si>
    <t>4690**********002X</t>
  </si>
  <si>
    <t>4601**********2722</t>
  </si>
  <si>
    <t>5137**********5523</t>
  </si>
  <si>
    <t>2312**********4043</t>
  </si>
  <si>
    <t>4512**********062X</t>
  </si>
  <si>
    <t>4600**********4627</t>
  </si>
  <si>
    <t>4690**********448X</t>
  </si>
  <si>
    <t>2306**********1769</t>
  </si>
  <si>
    <t>4600**********7674</t>
  </si>
  <si>
    <t>4108**********760X</t>
  </si>
  <si>
    <t>4690**********0029</t>
  </si>
  <si>
    <t>4115**********8601</t>
  </si>
  <si>
    <t>4602**********1663</t>
  </si>
  <si>
    <t>2306**********5432</t>
  </si>
  <si>
    <t>4600**********1228</t>
  </si>
  <si>
    <t>4690**********6829</t>
  </si>
  <si>
    <t>5003**********5508</t>
  </si>
  <si>
    <t>4690**********7049</t>
  </si>
  <si>
    <t>4600**********3880</t>
  </si>
  <si>
    <t>3707**********3020</t>
  </si>
  <si>
    <t>4600**********4645</t>
  </si>
  <si>
    <t>4602**********3825</t>
  </si>
  <si>
    <t>4601**********2413</t>
  </si>
  <si>
    <t>5103**********4289</t>
  </si>
  <si>
    <t>4602**********0026</t>
  </si>
  <si>
    <t>4311**********8204</t>
  </si>
  <si>
    <t>4602**********6328</t>
  </si>
  <si>
    <t>4601**********7543</t>
  </si>
  <si>
    <t>4306**********3266</t>
  </si>
  <si>
    <t>6224**********0661</t>
  </si>
  <si>
    <t>4690**********5126</t>
  </si>
  <si>
    <t>4600**********0386</t>
  </si>
  <si>
    <t>4601**********2624</t>
  </si>
  <si>
    <t>4600**********6244</t>
  </si>
  <si>
    <t>4128**********2448</t>
  </si>
  <si>
    <t>4601**********1822</t>
  </si>
  <si>
    <t>4600**********5238</t>
  </si>
  <si>
    <t>4600**********448X</t>
  </si>
  <si>
    <t>2303**********5016</t>
  </si>
  <si>
    <t>4600**********7687</t>
  </si>
  <si>
    <t>2305**********0327</t>
  </si>
  <si>
    <t>3607**********4832</t>
  </si>
  <si>
    <t>2323**********3326</t>
  </si>
  <si>
    <t>4600**********5728</t>
  </si>
  <si>
    <t>4690**********4484</t>
  </si>
  <si>
    <t>3625**********0624</t>
  </si>
  <si>
    <t>4228**********0527</t>
  </si>
  <si>
    <t>4600**********3314</t>
  </si>
  <si>
    <t>4600**********4485</t>
  </si>
  <si>
    <t>4690**********6822</t>
  </si>
  <si>
    <t>4690**********6824</t>
  </si>
  <si>
    <t>4600**********3136</t>
  </si>
  <si>
    <t>6403**********0923</t>
  </si>
  <si>
    <t>5304**********0515</t>
  </si>
  <si>
    <t>4600**********7521</t>
  </si>
  <si>
    <t>4600**********3529</t>
  </si>
  <si>
    <t>4600**********2849</t>
  </si>
  <si>
    <t>5115**********8649</t>
  </si>
  <si>
    <t>4600**********7226</t>
  </si>
  <si>
    <t>三亚市崖州区保港中学</t>
  </si>
  <si>
    <t>4600**********7166</t>
  </si>
  <si>
    <t>4600**********4647</t>
  </si>
  <si>
    <t>4602**********3361</t>
  </si>
  <si>
    <t>4600**********3362</t>
  </si>
  <si>
    <t>4600**********4546</t>
  </si>
  <si>
    <t>4307**********5444</t>
  </si>
  <si>
    <t>4507**********3021</t>
  </si>
  <si>
    <t>4690**********4998</t>
  </si>
  <si>
    <t>2301**********3718</t>
  </si>
  <si>
    <t>4600**********2839</t>
  </si>
  <si>
    <t>4600**********1624</t>
  </si>
  <si>
    <t>4600**********3325</t>
  </si>
  <si>
    <t>4690**********4486</t>
  </si>
  <si>
    <t>4600**********5425</t>
  </si>
  <si>
    <t>4690**********9029</t>
  </si>
  <si>
    <t>4600**********0476</t>
  </si>
  <si>
    <t>4600**********3813</t>
  </si>
  <si>
    <t>4600**********5715</t>
  </si>
  <si>
    <t>4600**********872X</t>
  </si>
  <si>
    <t>6101**********7316</t>
  </si>
  <si>
    <t>4600**********0446</t>
  </si>
  <si>
    <t>2308**********0229</t>
  </si>
  <si>
    <t>4690**********7223</t>
  </si>
  <si>
    <t>4690**********3326</t>
  </si>
  <si>
    <t>3625**********044X</t>
  </si>
  <si>
    <t>3622**********4023</t>
  </si>
  <si>
    <t>4601**********2029</t>
  </si>
  <si>
    <t>4600**********902X</t>
  </si>
  <si>
    <t>4600**********7305</t>
  </si>
  <si>
    <t>4690**********6625</t>
  </si>
  <si>
    <t>4601**********3821</t>
  </si>
  <si>
    <t>4600**********4224</t>
  </si>
  <si>
    <t>4601**********3447</t>
  </si>
  <si>
    <t>4600**********5420</t>
  </si>
  <si>
    <t>1402**********3926</t>
  </si>
  <si>
    <t>5224**********006X</t>
  </si>
  <si>
    <t>4690**********3226</t>
  </si>
  <si>
    <t>4690**********6428</t>
  </si>
  <si>
    <t>4307**********6103</t>
  </si>
  <si>
    <t>6101**********1524</t>
  </si>
  <si>
    <t>3604**********2427</t>
  </si>
  <si>
    <t>3505**********7142</t>
  </si>
  <si>
    <t>2323**********2526</t>
  </si>
  <si>
    <t>4600**********4859</t>
  </si>
  <si>
    <t>4690**********0829</t>
  </si>
  <si>
    <t>4602**********4902</t>
  </si>
  <si>
    <t>4600**********7032</t>
  </si>
  <si>
    <t>4602**********3830</t>
  </si>
  <si>
    <t>4600**********7828</t>
  </si>
  <si>
    <t>4602**********4696</t>
  </si>
  <si>
    <t>4600**********7244</t>
  </si>
  <si>
    <t>4602**********5128</t>
  </si>
  <si>
    <t>5222**********3245</t>
  </si>
  <si>
    <t>4690**********1523</t>
  </si>
  <si>
    <t>4600**********6304</t>
  </si>
  <si>
    <t>4601**********5424</t>
  </si>
  <si>
    <t>6125**********0226</t>
  </si>
  <si>
    <t>6101**********0011</t>
  </si>
  <si>
    <t>4690**********0626</t>
  </si>
  <si>
    <t>4690**********288X</t>
  </si>
  <si>
    <t>4690**********7926</t>
  </si>
  <si>
    <t>4600**********3587</t>
  </si>
  <si>
    <t>4690**********1028</t>
  </si>
  <si>
    <t>6540**********0885</t>
  </si>
  <si>
    <t>4601**********1226</t>
  </si>
  <si>
    <t>1306**********2825</t>
  </si>
  <si>
    <t>4690**********7616</t>
  </si>
  <si>
    <t>4600**********0653</t>
  </si>
  <si>
    <t>4690**********1211</t>
  </si>
  <si>
    <t>4600**********7526</t>
  </si>
  <si>
    <t>4690**********8214</t>
  </si>
  <si>
    <t>4690**********0815</t>
  </si>
  <si>
    <t>4600**********652X</t>
  </si>
  <si>
    <t>4690**********0061</t>
  </si>
  <si>
    <t>4600**********4068</t>
  </si>
  <si>
    <t>4690**********2027</t>
  </si>
  <si>
    <t>4601**********2026</t>
  </si>
  <si>
    <t>4600**********2841</t>
  </si>
  <si>
    <t>4690**********0618</t>
  </si>
  <si>
    <t>4690**********1929</t>
  </si>
  <si>
    <t>4127**********5328</t>
  </si>
  <si>
    <t>4690**********3225</t>
  </si>
  <si>
    <t>4690**********496X</t>
  </si>
  <si>
    <t>4690**********7312</t>
  </si>
  <si>
    <t>4690**********6523</t>
  </si>
  <si>
    <t>4690**********7240</t>
  </si>
  <si>
    <t>4600**********4611</t>
  </si>
  <si>
    <t>5113**********4684</t>
  </si>
  <si>
    <t>4600**********0630</t>
  </si>
  <si>
    <t>4690**********842X</t>
  </si>
  <si>
    <t>4690**********6161</t>
  </si>
  <si>
    <t>4601**********7129</t>
  </si>
  <si>
    <t>4690**********8021</t>
  </si>
  <si>
    <t>4600**********1912</t>
  </si>
  <si>
    <t>4690**********1729</t>
  </si>
  <si>
    <t>4600**********0617</t>
  </si>
  <si>
    <t>4601**********4229</t>
  </si>
  <si>
    <t>4600**********1927</t>
  </si>
  <si>
    <t>4600**********1928</t>
  </si>
  <si>
    <t>初中生物教师</t>
  </si>
  <si>
    <t>4108**********0042</t>
  </si>
  <si>
    <t>4509**********3101</t>
  </si>
  <si>
    <t>4506**********5112</t>
  </si>
  <si>
    <t>4600**********0648</t>
  </si>
  <si>
    <t>4690**********5629</t>
  </si>
  <si>
    <t>4602**********2748</t>
  </si>
  <si>
    <t>4600**********7644</t>
  </si>
  <si>
    <t>4600**********5766</t>
  </si>
  <si>
    <t>4600**********2443</t>
  </si>
  <si>
    <t>4600**********5089</t>
  </si>
  <si>
    <t>4690**********3324</t>
  </si>
  <si>
    <t>4600**********4972</t>
  </si>
  <si>
    <t>5225**********3664</t>
  </si>
  <si>
    <t>4690**********6142</t>
  </si>
  <si>
    <t>4690**********4775</t>
  </si>
  <si>
    <t>4600**********304X</t>
  </si>
  <si>
    <t>4521**********2428</t>
  </si>
  <si>
    <t>4600**********0860</t>
  </si>
  <si>
    <t>4690**********4146</t>
  </si>
  <si>
    <t>4600**********3885</t>
  </si>
  <si>
    <t>4600**********3028</t>
  </si>
  <si>
    <t>4600**********2888</t>
  </si>
  <si>
    <t>4600**********7268</t>
  </si>
  <si>
    <t>4690**********2212</t>
  </si>
  <si>
    <t>4690**********1827</t>
  </si>
  <si>
    <t>4600**********0252</t>
  </si>
  <si>
    <t>4600**********5682</t>
  </si>
  <si>
    <t>4600**********8142</t>
  </si>
  <si>
    <t>4600**********3900</t>
  </si>
  <si>
    <t>4602**********3341</t>
  </si>
  <si>
    <t>4600**********5717</t>
  </si>
  <si>
    <t>4600**********4660</t>
  </si>
  <si>
    <t>4600**********8722</t>
  </si>
  <si>
    <t>4600**********5086</t>
  </si>
  <si>
    <t>4213**********768X</t>
  </si>
  <si>
    <t>4600**********6882</t>
  </si>
  <si>
    <t>2308**********0023</t>
  </si>
  <si>
    <t>4602**********6325</t>
  </si>
  <si>
    <t>4601**********4123</t>
  </si>
  <si>
    <t>4690**********0311</t>
  </si>
  <si>
    <t>4600**********2327</t>
  </si>
  <si>
    <t>4600**********5028</t>
  </si>
  <si>
    <t>4690**********4848</t>
  </si>
  <si>
    <t>4600**********3084</t>
  </si>
  <si>
    <t>4600**********4649</t>
  </si>
  <si>
    <t>4600**********1224</t>
  </si>
  <si>
    <t>4600**********052X</t>
  </si>
  <si>
    <t>4600**********0620</t>
  </si>
  <si>
    <t>4690**********4965</t>
  </si>
  <si>
    <t>3713**********6026</t>
  </si>
  <si>
    <t>6205**********1460</t>
  </si>
  <si>
    <t>4210**********6521</t>
  </si>
  <si>
    <t>4600**********5829</t>
  </si>
  <si>
    <t>4600**********4361</t>
  </si>
  <si>
    <t>4600**********3865</t>
  </si>
  <si>
    <t>4690**********0627</t>
  </si>
  <si>
    <t>4601**********3422</t>
  </si>
  <si>
    <t>4600**********1465</t>
  </si>
  <si>
    <t>4313**********0146</t>
  </si>
  <si>
    <t>4600**********006X</t>
  </si>
  <si>
    <t>4600**********1638</t>
  </si>
  <si>
    <t>2112**********0238</t>
  </si>
  <si>
    <t>4600**********5124</t>
  </si>
  <si>
    <t>4307**********728X</t>
  </si>
  <si>
    <t>4690**********6425</t>
  </si>
  <si>
    <t>4600**********3627</t>
  </si>
  <si>
    <t>4690**********2013</t>
  </si>
  <si>
    <t>4600**********3643</t>
  </si>
  <si>
    <t>4690**********1223</t>
  </si>
  <si>
    <t>4690**********0913</t>
  </si>
  <si>
    <t>5002**********5424</t>
  </si>
  <si>
    <t>1304**********0344</t>
  </si>
  <si>
    <t>4307**********3140</t>
  </si>
  <si>
    <t>4690**********7220</t>
  </si>
  <si>
    <t>4690**********672X</t>
  </si>
  <si>
    <t>4127**********7847</t>
  </si>
  <si>
    <t>4602**********491X</t>
  </si>
  <si>
    <t>4127**********9124</t>
  </si>
  <si>
    <t>4600**********1529</t>
  </si>
  <si>
    <t>4304**********9505</t>
  </si>
  <si>
    <t>4690**********4825</t>
  </si>
  <si>
    <t>4600**********3449</t>
  </si>
  <si>
    <t>4601**********185X</t>
  </si>
  <si>
    <t>4600**********5423</t>
  </si>
  <si>
    <t>4600**********3722</t>
  </si>
  <si>
    <t>4690**********232X</t>
  </si>
  <si>
    <t>4602**********3142</t>
  </si>
  <si>
    <t>4600**********3024</t>
  </si>
  <si>
    <t>4600**********3031</t>
  </si>
  <si>
    <t>4602**********2720</t>
  </si>
  <si>
    <t>4690**********0724</t>
  </si>
  <si>
    <t>4304**********9321</t>
  </si>
  <si>
    <t>4601**********1212</t>
  </si>
  <si>
    <t>4690**********0464</t>
  </si>
  <si>
    <t>4690**********7226</t>
  </si>
  <si>
    <t>4600**********6226</t>
  </si>
  <si>
    <t>4600**********4408</t>
  </si>
  <si>
    <t>4325**********5104</t>
  </si>
  <si>
    <t>4205**********1027</t>
  </si>
  <si>
    <t>4600**********3364</t>
  </si>
  <si>
    <t>4690**********5217</t>
  </si>
  <si>
    <t>4600**********7637</t>
  </si>
  <si>
    <t>4600**********452X</t>
  </si>
  <si>
    <t>4127**********4560</t>
  </si>
  <si>
    <t>5330**********1227</t>
  </si>
  <si>
    <t>4600**********3266</t>
  </si>
  <si>
    <t>4690**********1927</t>
  </si>
  <si>
    <t>4600**********3284</t>
  </si>
  <si>
    <t>4690**********0866</t>
  </si>
  <si>
    <t>4600**********4422</t>
  </si>
  <si>
    <t>4690**********1188</t>
  </si>
  <si>
    <t>小学体育教师</t>
  </si>
  <si>
    <t>三亚市崖州区公办小学</t>
  </si>
  <si>
    <t>4600**********4559</t>
  </si>
  <si>
    <t>4301**********065X</t>
  </si>
  <si>
    <t>4602**********3136</t>
  </si>
  <si>
    <t>3705**********0017</t>
  </si>
  <si>
    <t>4600**********0625</t>
  </si>
  <si>
    <t>4600**********582X</t>
  </si>
  <si>
    <t>4690**********0428</t>
  </si>
  <si>
    <t>3604**********5023</t>
  </si>
  <si>
    <t>5221**********6514</t>
  </si>
  <si>
    <t>4601**********6026</t>
  </si>
  <si>
    <t>5304**********1116</t>
  </si>
  <si>
    <t>4418**********9194</t>
  </si>
  <si>
    <t>4600**********5012</t>
  </si>
  <si>
    <t>3607**********0026</t>
  </si>
  <si>
    <t>5225**********2628</t>
  </si>
  <si>
    <t>3607**********0018</t>
  </si>
  <si>
    <t>4600**********6072</t>
  </si>
  <si>
    <t>3604**********3419</t>
  </si>
  <si>
    <t>4103**********964X</t>
  </si>
  <si>
    <t>4601**********2714</t>
  </si>
  <si>
    <t>4600**********2833</t>
  </si>
  <si>
    <t>3604**********2225</t>
  </si>
  <si>
    <t>4600**********2337</t>
  </si>
  <si>
    <t>4600**********043X</t>
  </si>
  <si>
    <t>4690**********5015</t>
  </si>
  <si>
    <t>4600**********8255</t>
  </si>
  <si>
    <t>1310**********4223</t>
  </si>
  <si>
    <t>4600**********2914</t>
  </si>
  <si>
    <t>3706**********3221</t>
  </si>
  <si>
    <t>4103**********9568</t>
  </si>
  <si>
    <t>4690**********0313</t>
  </si>
  <si>
    <t>4301**********496X</t>
  </si>
  <si>
    <t>4600**********5618</t>
  </si>
  <si>
    <t>5221**********3813</t>
  </si>
  <si>
    <t>3424**********2224</t>
  </si>
  <si>
    <t>2305**********153X</t>
  </si>
  <si>
    <t>4690**********0310</t>
  </si>
  <si>
    <t>4600**********7258</t>
  </si>
  <si>
    <t>4412**********0011</t>
  </si>
  <si>
    <t>4408**********1025</t>
  </si>
  <si>
    <t>2224**********5219</t>
  </si>
  <si>
    <t>5115**********1921</t>
  </si>
  <si>
    <t>4690**********0011</t>
  </si>
  <si>
    <t>4600**********0719</t>
  </si>
  <si>
    <t>4690**********5233</t>
  </si>
  <si>
    <t>5222**********0033</t>
  </si>
  <si>
    <t>4690**********1716</t>
  </si>
  <si>
    <t>4690**********7176</t>
  </si>
  <si>
    <t>3601**********6134</t>
  </si>
  <si>
    <t>4690**********7272</t>
  </si>
  <si>
    <t>4602**********4692</t>
  </si>
  <si>
    <t>5221**********0425</t>
  </si>
  <si>
    <t>4600**********7319</t>
  </si>
  <si>
    <t>4600**********6415</t>
  </si>
  <si>
    <t>4600**********2417</t>
  </si>
  <si>
    <t>4600**********3313</t>
  </si>
  <si>
    <t>4600**********4526</t>
  </si>
  <si>
    <t>4600**********6113</t>
  </si>
  <si>
    <t>1304**********2751</t>
  </si>
  <si>
    <t>4602**********3839</t>
  </si>
  <si>
    <t>4690**********3215</t>
  </si>
  <si>
    <t>5330**********0721</t>
  </si>
  <si>
    <t>3729**********6713</t>
  </si>
  <si>
    <t>4600**********5015</t>
  </si>
  <si>
    <t>5221**********0713</t>
  </si>
  <si>
    <t>4109**********4251</t>
  </si>
  <si>
    <t>4600**********2217</t>
  </si>
  <si>
    <t>2101**********432X</t>
  </si>
  <si>
    <t>4690**********4314</t>
  </si>
  <si>
    <t>4600**********0714</t>
  </si>
  <si>
    <t>3213**********3413</t>
  </si>
  <si>
    <t>4600**********6572</t>
  </si>
  <si>
    <t>4690**********4771</t>
  </si>
  <si>
    <t>4600**********1219</t>
  </si>
  <si>
    <t>4601**********1835</t>
  </si>
  <si>
    <t>4600**********293X</t>
  </si>
  <si>
    <t>5119**********1839</t>
  </si>
  <si>
    <t>5105**********6904</t>
  </si>
  <si>
    <t>4600**********1737</t>
  </si>
  <si>
    <t>3702**********4810</t>
  </si>
  <si>
    <t>4600**********7775</t>
  </si>
  <si>
    <t>4600**********7918</t>
  </si>
  <si>
    <t>4690**********4974</t>
  </si>
  <si>
    <t>4690**********3011</t>
  </si>
  <si>
    <t>4101**********7583</t>
  </si>
  <si>
    <t>2302**********0217</t>
  </si>
  <si>
    <t>4600**********4612</t>
  </si>
  <si>
    <t>4690**********2818</t>
  </si>
  <si>
    <t>4602**********4010</t>
  </si>
  <si>
    <t>2201**********0616</t>
  </si>
  <si>
    <t>4102**********3770</t>
  </si>
  <si>
    <t>4600**********081X</t>
  </si>
  <si>
    <t>4452**********2778</t>
  </si>
  <si>
    <t>4601**********1230</t>
  </si>
  <si>
    <t>4600**********0413</t>
  </si>
  <si>
    <t>4603**********0019</t>
  </si>
  <si>
    <t>4106**********0511</t>
  </si>
  <si>
    <t>4205**********2112</t>
  </si>
  <si>
    <t>4600**********6011</t>
  </si>
  <si>
    <t>4602**********3826</t>
  </si>
  <si>
    <t>4325**********193X</t>
  </si>
  <si>
    <t>4602**********0051</t>
  </si>
  <si>
    <t>4690**********7814</t>
  </si>
  <si>
    <t>6201**********1115</t>
  </si>
  <si>
    <t>2107**********0034</t>
  </si>
  <si>
    <t>4602**********4023</t>
  </si>
  <si>
    <t>4602**********4464</t>
  </si>
  <si>
    <t>1521**********0910</t>
  </si>
  <si>
    <t>4110**********0014</t>
  </si>
  <si>
    <t>4600**********1324</t>
  </si>
  <si>
    <t>4508**********652X</t>
  </si>
  <si>
    <t>4600**********527X</t>
  </si>
  <si>
    <t>4690**********1217</t>
  </si>
  <si>
    <t>1523**********1823</t>
  </si>
  <si>
    <t>4600**********6219</t>
  </si>
  <si>
    <t>4690**********182X</t>
  </si>
  <si>
    <t>4690**********0624</t>
  </si>
  <si>
    <t>4690**********5212</t>
  </si>
  <si>
    <t>4402**********0025</t>
  </si>
  <si>
    <t>4600**********3617</t>
  </si>
  <si>
    <t>3609**********8142</t>
  </si>
  <si>
    <t>4205**********8628</t>
  </si>
  <si>
    <t>4600**********8710</t>
  </si>
  <si>
    <t>4115**********3117</t>
  </si>
  <si>
    <t>4114**********5411</t>
  </si>
  <si>
    <t>3607**********8316</t>
  </si>
  <si>
    <t>4307**********0049</t>
  </si>
  <si>
    <t>4304**********0077</t>
  </si>
  <si>
    <t>4600**********4876</t>
  </si>
  <si>
    <t>4600**********1774</t>
  </si>
  <si>
    <t>1301**********0999</t>
  </si>
  <si>
    <t>6523**********2846</t>
  </si>
  <si>
    <t>4509**********7736</t>
  </si>
  <si>
    <t>4325**********5911</t>
  </si>
  <si>
    <t>小学道德与法治教师</t>
  </si>
  <si>
    <t>4312**********0095</t>
  </si>
  <si>
    <t>6204**********3611</t>
  </si>
  <si>
    <t>4602**********3924</t>
  </si>
  <si>
    <t>4690**********8528</t>
  </si>
  <si>
    <t>6104**********252X</t>
  </si>
  <si>
    <t>4690**********2120</t>
  </si>
  <si>
    <t>4309**********8129</t>
  </si>
  <si>
    <t>3203**********002X</t>
  </si>
  <si>
    <t>4601**********0941</t>
  </si>
  <si>
    <t>4600**********4626</t>
  </si>
  <si>
    <t>2206**********0023</t>
  </si>
  <si>
    <t>4600**********5229</t>
  </si>
  <si>
    <t>4600**********2921</t>
  </si>
  <si>
    <t>4600**********6227</t>
  </si>
  <si>
    <t>1504**********1027</t>
  </si>
  <si>
    <t>4600**********3823</t>
  </si>
  <si>
    <t>4602**********5912</t>
  </si>
  <si>
    <t>5001**********6121</t>
  </si>
  <si>
    <t>3622**********1525</t>
  </si>
  <si>
    <t>2306**********5124</t>
  </si>
  <si>
    <t>2104**********1022</t>
  </si>
  <si>
    <t>4600**********8342</t>
  </si>
  <si>
    <t>4690**********222X</t>
  </si>
  <si>
    <t>4600**********2424</t>
  </si>
  <si>
    <t>4600**********4665</t>
  </si>
  <si>
    <t>4600**********7185</t>
  </si>
  <si>
    <t>4304**********3420</t>
  </si>
  <si>
    <t>4601**********2625</t>
  </si>
  <si>
    <t>4602**********0288</t>
  </si>
  <si>
    <t>4600**********7524</t>
  </si>
  <si>
    <t>3604**********0043</t>
  </si>
  <si>
    <t>4600**********5146</t>
  </si>
  <si>
    <t>4690**********8045</t>
  </si>
  <si>
    <t>4602**********188X</t>
  </si>
  <si>
    <t>4690**********1823</t>
  </si>
  <si>
    <t>4601**********3925</t>
  </si>
  <si>
    <t>4409**********2806</t>
  </si>
  <si>
    <t>5113**********4778</t>
  </si>
  <si>
    <t>4690**********1360</t>
  </si>
  <si>
    <t>4600**********3921</t>
  </si>
  <si>
    <t>3713**********2127</t>
  </si>
  <si>
    <t>4600**********1646</t>
  </si>
  <si>
    <t>5330**********3327</t>
  </si>
  <si>
    <t>4601**********1224</t>
  </si>
  <si>
    <t>4600**********6827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</si>
</sst>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833"/>
  <sheetViews>
    <sheetView tabSelected="1" zoomScale="130" zoomScaleNormal="130" workbookViewId="0">
      <selection activeCell="A1" sqref="A1:G1"/>
    </sheetView>
  </sheetViews>
  <sheetFormatPr defaultColWidth="9" defaultRowHeight="14.4" outlineLevelCol="7"/>
  <cols>
    <col min="1" max="1" width="7.77777777777778" style="2" customWidth="1"/>
    <col min="2" max="2" width="10.6666666666667" style="2" customWidth="1"/>
    <col min="3" max="3" width="23" style="2" customWidth="1"/>
    <col min="4" max="4" width="46.6666666666667" style="2" customWidth="1"/>
    <col min="5" max="5" width="9.88888888888889" style="2" customWidth="1"/>
    <col min="6" max="6" width="7.33333333333333" style="2" customWidth="1"/>
    <col min="7" max="7" width="21.5555555555556" style="2" customWidth="1"/>
    <col min="8" max="8" width="19.9074074074074" customWidth="1"/>
    <col min="9" max="16384" width="9" style="2"/>
  </cols>
  <sheetData>
    <row r="1" ht="5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</row>
    <row r="3" ht="25" customHeight="1" spans="1:8">
      <c r="A3" s="6">
        <v>1</v>
      </c>
      <c r="B3" s="7" t="str">
        <f t="shared" ref="B3:B66" si="0">"101"</f>
        <v>101</v>
      </c>
      <c r="C3" s="7" t="s">
        <v>8</v>
      </c>
      <c r="D3" s="7" t="s">
        <v>9</v>
      </c>
      <c r="E3" s="7" t="str">
        <f>"莫巧巧"</f>
        <v>莫巧巧</v>
      </c>
      <c r="F3" s="7" t="str">
        <f t="shared" ref="F3:F7" si="1">"女"</f>
        <v>女</v>
      </c>
      <c r="G3" s="7" t="s">
        <v>10</v>
      </c>
      <c r="H3" s="8"/>
    </row>
    <row r="4" ht="25" customHeight="1" spans="1:8">
      <c r="A4" s="6">
        <v>2</v>
      </c>
      <c r="B4" s="7" t="str">
        <f t="shared" si="0"/>
        <v>101</v>
      </c>
      <c r="C4" s="7" t="s">
        <v>8</v>
      </c>
      <c r="D4" s="7" t="s">
        <v>9</v>
      </c>
      <c r="E4" s="7" t="str">
        <f>"胡易立"</f>
        <v>胡易立</v>
      </c>
      <c r="F4" s="7" t="str">
        <f t="shared" ref="F4:F8" si="2">"男"</f>
        <v>男</v>
      </c>
      <c r="G4" s="7" t="s">
        <v>11</v>
      </c>
      <c r="H4" s="8"/>
    </row>
    <row r="5" ht="25" customHeight="1" spans="1:8">
      <c r="A5" s="6">
        <v>3</v>
      </c>
      <c r="B5" s="7" t="str">
        <f t="shared" si="0"/>
        <v>101</v>
      </c>
      <c r="C5" s="7" t="s">
        <v>8</v>
      </c>
      <c r="D5" s="7" t="s">
        <v>9</v>
      </c>
      <c r="E5" s="7" t="str">
        <f>"黄娃"</f>
        <v>黄娃</v>
      </c>
      <c r="F5" s="7" t="str">
        <f t="shared" si="1"/>
        <v>女</v>
      </c>
      <c r="G5" s="7" t="s">
        <v>12</v>
      </c>
      <c r="H5" s="8"/>
    </row>
    <row r="6" ht="25" customHeight="1" spans="1:8">
      <c r="A6" s="6">
        <v>4</v>
      </c>
      <c r="B6" s="7" t="str">
        <f t="shared" si="0"/>
        <v>101</v>
      </c>
      <c r="C6" s="7" t="s">
        <v>8</v>
      </c>
      <c r="D6" s="7" t="s">
        <v>9</v>
      </c>
      <c r="E6" s="7" t="str">
        <f>"杨超"</f>
        <v>杨超</v>
      </c>
      <c r="F6" s="7" t="str">
        <f t="shared" si="2"/>
        <v>男</v>
      </c>
      <c r="G6" s="7" t="s">
        <v>13</v>
      </c>
      <c r="H6" s="8"/>
    </row>
    <row r="7" ht="25" customHeight="1" spans="1:8">
      <c r="A7" s="6">
        <v>5</v>
      </c>
      <c r="B7" s="7" t="str">
        <f t="shared" si="0"/>
        <v>101</v>
      </c>
      <c r="C7" s="7" t="s">
        <v>8</v>
      </c>
      <c r="D7" s="7" t="s">
        <v>9</v>
      </c>
      <c r="E7" s="7" t="str">
        <f>"程杏"</f>
        <v>程杏</v>
      </c>
      <c r="F7" s="7" t="str">
        <f t="shared" si="1"/>
        <v>女</v>
      </c>
      <c r="G7" s="7" t="s">
        <v>14</v>
      </c>
      <c r="H7" s="8"/>
    </row>
    <row r="8" ht="25" customHeight="1" spans="1:8">
      <c r="A8" s="6">
        <v>6</v>
      </c>
      <c r="B8" s="7" t="str">
        <f t="shared" si="0"/>
        <v>101</v>
      </c>
      <c r="C8" s="7" t="s">
        <v>8</v>
      </c>
      <c r="D8" s="7" t="s">
        <v>9</v>
      </c>
      <c r="E8" s="7" t="str">
        <f>"蒙俊运"</f>
        <v>蒙俊运</v>
      </c>
      <c r="F8" s="7" t="str">
        <f t="shared" si="2"/>
        <v>男</v>
      </c>
      <c r="G8" s="7" t="s">
        <v>15</v>
      </c>
      <c r="H8" s="8"/>
    </row>
    <row r="9" ht="25" customHeight="1" spans="1:8">
      <c r="A9" s="6">
        <v>7</v>
      </c>
      <c r="B9" s="7" t="str">
        <f t="shared" si="0"/>
        <v>101</v>
      </c>
      <c r="C9" s="7" t="s">
        <v>8</v>
      </c>
      <c r="D9" s="7" t="s">
        <v>9</v>
      </c>
      <c r="E9" s="7" t="str">
        <f>"郭瑢"</f>
        <v>郭瑢</v>
      </c>
      <c r="F9" s="7" t="str">
        <f t="shared" ref="F9:F13" si="3">"女"</f>
        <v>女</v>
      </c>
      <c r="G9" s="7" t="s">
        <v>16</v>
      </c>
      <c r="H9" s="8"/>
    </row>
    <row r="10" ht="25" customHeight="1" spans="1:8">
      <c r="A10" s="6">
        <v>8</v>
      </c>
      <c r="B10" s="7" t="str">
        <f t="shared" si="0"/>
        <v>101</v>
      </c>
      <c r="C10" s="7" t="s">
        <v>8</v>
      </c>
      <c r="D10" s="7" t="s">
        <v>9</v>
      </c>
      <c r="E10" s="7" t="str">
        <f>"常鑫雨"</f>
        <v>常鑫雨</v>
      </c>
      <c r="F10" s="7" t="str">
        <f t="shared" si="3"/>
        <v>女</v>
      </c>
      <c r="G10" s="7" t="s">
        <v>17</v>
      </c>
      <c r="H10" s="8"/>
    </row>
    <row r="11" ht="25" customHeight="1" spans="1:8">
      <c r="A11" s="6">
        <v>9</v>
      </c>
      <c r="B11" s="7" t="str">
        <f t="shared" si="0"/>
        <v>101</v>
      </c>
      <c r="C11" s="7" t="s">
        <v>8</v>
      </c>
      <c r="D11" s="7" t="s">
        <v>9</v>
      </c>
      <c r="E11" s="7" t="str">
        <f>"黎石成"</f>
        <v>黎石成</v>
      </c>
      <c r="F11" s="7" t="str">
        <f t="shared" ref="F11:F15" si="4">"男"</f>
        <v>男</v>
      </c>
      <c r="G11" s="7" t="s">
        <v>18</v>
      </c>
      <c r="H11" s="8"/>
    </row>
    <row r="12" ht="25" customHeight="1" spans="1:8">
      <c r="A12" s="6">
        <v>10</v>
      </c>
      <c r="B12" s="7" t="str">
        <f t="shared" si="0"/>
        <v>101</v>
      </c>
      <c r="C12" s="7" t="s">
        <v>8</v>
      </c>
      <c r="D12" s="7" t="s">
        <v>9</v>
      </c>
      <c r="E12" s="7" t="str">
        <f>"林玉烨"</f>
        <v>林玉烨</v>
      </c>
      <c r="F12" s="7" t="str">
        <f t="shared" si="3"/>
        <v>女</v>
      </c>
      <c r="G12" s="7" t="s">
        <v>19</v>
      </c>
      <c r="H12" s="8"/>
    </row>
    <row r="13" ht="25" customHeight="1" spans="1:8">
      <c r="A13" s="6">
        <v>11</v>
      </c>
      <c r="B13" s="7" t="str">
        <f t="shared" si="0"/>
        <v>101</v>
      </c>
      <c r="C13" s="7" t="s">
        <v>8</v>
      </c>
      <c r="D13" s="7" t="s">
        <v>9</v>
      </c>
      <c r="E13" s="7" t="str">
        <f>"蔡丽"</f>
        <v>蔡丽</v>
      </c>
      <c r="F13" s="7" t="str">
        <f t="shared" si="3"/>
        <v>女</v>
      </c>
      <c r="G13" s="7" t="s">
        <v>20</v>
      </c>
      <c r="H13" s="8"/>
    </row>
    <row r="14" ht="25" customHeight="1" spans="1:8">
      <c r="A14" s="6">
        <v>12</v>
      </c>
      <c r="B14" s="7" t="str">
        <f t="shared" si="0"/>
        <v>101</v>
      </c>
      <c r="C14" s="7" t="s">
        <v>8</v>
      </c>
      <c r="D14" s="7" t="s">
        <v>9</v>
      </c>
      <c r="E14" s="7" t="str">
        <f>"吴原源"</f>
        <v>吴原源</v>
      </c>
      <c r="F14" s="7" t="str">
        <f t="shared" si="4"/>
        <v>男</v>
      </c>
      <c r="G14" s="7" t="s">
        <v>21</v>
      </c>
      <c r="H14" s="8"/>
    </row>
    <row r="15" ht="25" customHeight="1" spans="1:8">
      <c r="A15" s="6">
        <v>13</v>
      </c>
      <c r="B15" s="7" t="str">
        <f t="shared" si="0"/>
        <v>101</v>
      </c>
      <c r="C15" s="7" t="s">
        <v>8</v>
      </c>
      <c r="D15" s="7" t="s">
        <v>9</v>
      </c>
      <c r="E15" s="7" t="str">
        <f>"李森森"</f>
        <v>李森森</v>
      </c>
      <c r="F15" s="7" t="str">
        <f t="shared" si="4"/>
        <v>男</v>
      </c>
      <c r="G15" s="7" t="s">
        <v>22</v>
      </c>
      <c r="H15" s="8"/>
    </row>
    <row r="16" ht="25" customHeight="1" spans="1:8">
      <c r="A16" s="6">
        <v>14</v>
      </c>
      <c r="B16" s="7" t="str">
        <f t="shared" si="0"/>
        <v>101</v>
      </c>
      <c r="C16" s="7" t="s">
        <v>8</v>
      </c>
      <c r="D16" s="7" t="s">
        <v>9</v>
      </c>
      <c r="E16" s="7" t="str">
        <f>"王娟"</f>
        <v>王娟</v>
      </c>
      <c r="F16" s="7" t="str">
        <f>"女"</f>
        <v>女</v>
      </c>
      <c r="G16" s="7" t="s">
        <v>23</v>
      </c>
      <c r="H16" s="8"/>
    </row>
    <row r="17" ht="25" customHeight="1" spans="1:8">
      <c r="A17" s="6">
        <v>15</v>
      </c>
      <c r="B17" s="7" t="str">
        <f t="shared" si="0"/>
        <v>101</v>
      </c>
      <c r="C17" s="7" t="s">
        <v>8</v>
      </c>
      <c r="D17" s="7" t="s">
        <v>9</v>
      </c>
      <c r="E17" s="7" t="str">
        <f>"林明帅"</f>
        <v>林明帅</v>
      </c>
      <c r="F17" s="7" t="str">
        <f t="shared" ref="F17:F20" si="5">"男"</f>
        <v>男</v>
      </c>
      <c r="G17" s="7" t="s">
        <v>24</v>
      </c>
      <c r="H17" s="8"/>
    </row>
    <row r="18" ht="25" customHeight="1" spans="1:8">
      <c r="A18" s="6">
        <v>16</v>
      </c>
      <c r="B18" s="7" t="str">
        <f t="shared" si="0"/>
        <v>101</v>
      </c>
      <c r="C18" s="7" t="s">
        <v>8</v>
      </c>
      <c r="D18" s="7" t="s">
        <v>9</v>
      </c>
      <c r="E18" s="7" t="str">
        <f>"田文伯"</f>
        <v>田文伯</v>
      </c>
      <c r="F18" s="7" t="str">
        <f t="shared" si="5"/>
        <v>男</v>
      </c>
      <c r="G18" s="7" t="s">
        <v>25</v>
      </c>
      <c r="H18" s="8"/>
    </row>
    <row r="19" ht="25" customHeight="1" spans="1:8">
      <c r="A19" s="6">
        <v>17</v>
      </c>
      <c r="B19" s="7" t="str">
        <f t="shared" si="0"/>
        <v>101</v>
      </c>
      <c r="C19" s="7" t="s">
        <v>8</v>
      </c>
      <c r="D19" s="7" t="s">
        <v>9</v>
      </c>
      <c r="E19" s="7" t="str">
        <f>"王乐方"</f>
        <v>王乐方</v>
      </c>
      <c r="F19" s="7" t="str">
        <f t="shared" si="5"/>
        <v>男</v>
      </c>
      <c r="G19" s="7" t="s">
        <v>26</v>
      </c>
      <c r="H19" s="8"/>
    </row>
    <row r="20" ht="25" customHeight="1" spans="1:8">
      <c r="A20" s="6">
        <v>18</v>
      </c>
      <c r="B20" s="7" t="str">
        <f t="shared" si="0"/>
        <v>101</v>
      </c>
      <c r="C20" s="7" t="s">
        <v>8</v>
      </c>
      <c r="D20" s="7" t="s">
        <v>9</v>
      </c>
      <c r="E20" s="7" t="str">
        <f>"王会赟"</f>
        <v>王会赟</v>
      </c>
      <c r="F20" s="7" t="str">
        <f t="shared" si="5"/>
        <v>男</v>
      </c>
      <c r="G20" s="7" t="s">
        <v>27</v>
      </c>
      <c r="H20" s="8"/>
    </row>
    <row r="21" ht="25" customHeight="1" spans="1:8">
      <c r="A21" s="6">
        <v>19</v>
      </c>
      <c r="B21" s="7" t="str">
        <f t="shared" si="0"/>
        <v>101</v>
      </c>
      <c r="C21" s="7" t="s">
        <v>8</v>
      </c>
      <c r="D21" s="7" t="s">
        <v>9</v>
      </c>
      <c r="E21" s="7" t="str">
        <f>"黄慧"</f>
        <v>黄慧</v>
      </c>
      <c r="F21" s="7" t="str">
        <f t="shared" ref="F21:F25" si="6">"女"</f>
        <v>女</v>
      </c>
      <c r="G21" s="7" t="s">
        <v>28</v>
      </c>
      <c r="H21" s="8"/>
    </row>
    <row r="22" ht="25" customHeight="1" spans="1:8">
      <c r="A22" s="6">
        <v>20</v>
      </c>
      <c r="B22" s="7" t="str">
        <f t="shared" si="0"/>
        <v>101</v>
      </c>
      <c r="C22" s="7" t="s">
        <v>8</v>
      </c>
      <c r="D22" s="7" t="s">
        <v>9</v>
      </c>
      <c r="E22" s="7" t="str">
        <f>"王雪"</f>
        <v>王雪</v>
      </c>
      <c r="F22" s="7" t="str">
        <f t="shared" si="6"/>
        <v>女</v>
      </c>
      <c r="G22" s="7" t="s">
        <v>29</v>
      </c>
      <c r="H22" s="8"/>
    </row>
    <row r="23" ht="25" customHeight="1" spans="1:8">
      <c r="A23" s="6">
        <v>21</v>
      </c>
      <c r="B23" s="7" t="str">
        <f t="shared" si="0"/>
        <v>101</v>
      </c>
      <c r="C23" s="7" t="s">
        <v>8</v>
      </c>
      <c r="D23" s="7" t="s">
        <v>9</v>
      </c>
      <c r="E23" s="7" t="str">
        <f>"赵冀"</f>
        <v>赵冀</v>
      </c>
      <c r="F23" s="7" t="str">
        <f t="shared" si="6"/>
        <v>女</v>
      </c>
      <c r="G23" s="7" t="s">
        <v>30</v>
      </c>
      <c r="H23" s="8"/>
    </row>
    <row r="24" ht="25" customHeight="1" spans="1:8">
      <c r="A24" s="6">
        <v>22</v>
      </c>
      <c r="B24" s="7" t="str">
        <f t="shared" si="0"/>
        <v>101</v>
      </c>
      <c r="C24" s="7" t="s">
        <v>8</v>
      </c>
      <c r="D24" s="7" t="s">
        <v>9</v>
      </c>
      <c r="E24" s="7" t="str">
        <f>"杨万星"</f>
        <v>杨万星</v>
      </c>
      <c r="F24" s="7" t="str">
        <f t="shared" si="6"/>
        <v>女</v>
      </c>
      <c r="G24" s="7" t="s">
        <v>31</v>
      </c>
      <c r="H24" s="8"/>
    </row>
    <row r="25" ht="25" customHeight="1" spans="1:8">
      <c r="A25" s="6">
        <v>23</v>
      </c>
      <c r="B25" s="7" t="str">
        <f t="shared" si="0"/>
        <v>101</v>
      </c>
      <c r="C25" s="7" t="s">
        <v>8</v>
      </c>
      <c r="D25" s="7" t="s">
        <v>9</v>
      </c>
      <c r="E25" s="7" t="str">
        <f>"王钰"</f>
        <v>王钰</v>
      </c>
      <c r="F25" s="7" t="str">
        <f t="shared" si="6"/>
        <v>女</v>
      </c>
      <c r="G25" s="7" t="s">
        <v>32</v>
      </c>
      <c r="H25" s="8"/>
    </row>
    <row r="26" ht="25" customHeight="1" spans="1:8">
      <c r="A26" s="6">
        <v>24</v>
      </c>
      <c r="B26" s="7" t="str">
        <f t="shared" si="0"/>
        <v>101</v>
      </c>
      <c r="C26" s="7" t="s">
        <v>8</v>
      </c>
      <c r="D26" s="7" t="s">
        <v>9</v>
      </c>
      <c r="E26" s="7" t="str">
        <f>"张朋伟"</f>
        <v>张朋伟</v>
      </c>
      <c r="F26" s="7" t="str">
        <f t="shared" ref="F26:F29" si="7">"男"</f>
        <v>男</v>
      </c>
      <c r="G26" s="7" t="s">
        <v>33</v>
      </c>
      <c r="H26" s="8"/>
    </row>
    <row r="27" ht="25" customHeight="1" spans="1:8">
      <c r="A27" s="6">
        <v>25</v>
      </c>
      <c r="B27" s="7" t="str">
        <f t="shared" si="0"/>
        <v>101</v>
      </c>
      <c r="C27" s="7" t="s">
        <v>8</v>
      </c>
      <c r="D27" s="7" t="s">
        <v>9</v>
      </c>
      <c r="E27" s="7" t="str">
        <f>"史德强"</f>
        <v>史德强</v>
      </c>
      <c r="F27" s="7" t="str">
        <f t="shared" si="7"/>
        <v>男</v>
      </c>
      <c r="G27" s="7" t="s">
        <v>34</v>
      </c>
      <c r="H27" s="8"/>
    </row>
    <row r="28" ht="25" customHeight="1" spans="1:8">
      <c r="A28" s="6">
        <v>26</v>
      </c>
      <c r="B28" s="7" t="str">
        <f t="shared" si="0"/>
        <v>101</v>
      </c>
      <c r="C28" s="7" t="s">
        <v>8</v>
      </c>
      <c r="D28" s="7" t="s">
        <v>9</v>
      </c>
      <c r="E28" s="7" t="str">
        <f>"徐杨"</f>
        <v>徐杨</v>
      </c>
      <c r="F28" s="7" t="str">
        <f t="shared" ref="F28:F34" si="8">"女"</f>
        <v>女</v>
      </c>
      <c r="G28" s="7" t="s">
        <v>35</v>
      </c>
      <c r="H28" s="8"/>
    </row>
    <row r="29" ht="25" customHeight="1" spans="1:8">
      <c r="A29" s="6">
        <v>27</v>
      </c>
      <c r="B29" s="7" t="str">
        <f t="shared" si="0"/>
        <v>101</v>
      </c>
      <c r="C29" s="7" t="s">
        <v>8</v>
      </c>
      <c r="D29" s="7" t="s">
        <v>9</v>
      </c>
      <c r="E29" s="7" t="str">
        <f>"梁振储"</f>
        <v>梁振储</v>
      </c>
      <c r="F29" s="7" t="str">
        <f t="shared" si="7"/>
        <v>男</v>
      </c>
      <c r="G29" s="7" t="s">
        <v>36</v>
      </c>
      <c r="H29" s="8"/>
    </row>
    <row r="30" ht="25" customHeight="1" spans="1:8">
      <c r="A30" s="6">
        <v>28</v>
      </c>
      <c r="B30" s="7" t="str">
        <f t="shared" si="0"/>
        <v>101</v>
      </c>
      <c r="C30" s="7" t="s">
        <v>8</v>
      </c>
      <c r="D30" s="7" t="s">
        <v>9</v>
      </c>
      <c r="E30" s="7" t="str">
        <f>"林春娜"</f>
        <v>林春娜</v>
      </c>
      <c r="F30" s="7" t="str">
        <f t="shared" si="8"/>
        <v>女</v>
      </c>
      <c r="G30" s="7" t="s">
        <v>37</v>
      </c>
      <c r="H30" s="8"/>
    </row>
    <row r="31" ht="25" customHeight="1" spans="1:8">
      <c r="A31" s="6">
        <v>29</v>
      </c>
      <c r="B31" s="7" t="str">
        <f t="shared" si="0"/>
        <v>101</v>
      </c>
      <c r="C31" s="7" t="s">
        <v>8</v>
      </c>
      <c r="D31" s="7" t="s">
        <v>9</v>
      </c>
      <c r="E31" s="7" t="str">
        <f>"陈梦瑶"</f>
        <v>陈梦瑶</v>
      </c>
      <c r="F31" s="7" t="str">
        <f t="shared" si="8"/>
        <v>女</v>
      </c>
      <c r="G31" s="7" t="s">
        <v>38</v>
      </c>
      <c r="H31" s="8"/>
    </row>
    <row r="32" ht="25" customHeight="1" spans="1:8">
      <c r="A32" s="6">
        <v>30</v>
      </c>
      <c r="B32" s="7" t="str">
        <f t="shared" si="0"/>
        <v>101</v>
      </c>
      <c r="C32" s="7" t="s">
        <v>8</v>
      </c>
      <c r="D32" s="7" t="s">
        <v>9</v>
      </c>
      <c r="E32" s="7" t="str">
        <f>"傅钰"</f>
        <v>傅钰</v>
      </c>
      <c r="F32" s="7" t="str">
        <f t="shared" si="8"/>
        <v>女</v>
      </c>
      <c r="G32" s="7" t="s">
        <v>39</v>
      </c>
      <c r="H32" s="8"/>
    </row>
    <row r="33" ht="25" customHeight="1" spans="1:8">
      <c r="A33" s="6">
        <v>31</v>
      </c>
      <c r="B33" s="7" t="str">
        <f t="shared" si="0"/>
        <v>101</v>
      </c>
      <c r="C33" s="7" t="s">
        <v>8</v>
      </c>
      <c r="D33" s="7" t="s">
        <v>9</v>
      </c>
      <c r="E33" s="7" t="str">
        <f>"周娟娟"</f>
        <v>周娟娟</v>
      </c>
      <c r="F33" s="7" t="str">
        <f t="shared" si="8"/>
        <v>女</v>
      </c>
      <c r="G33" s="7" t="s">
        <v>40</v>
      </c>
      <c r="H33" s="8"/>
    </row>
    <row r="34" ht="25" customHeight="1" spans="1:8">
      <c r="A34" s="6">
        <v>32</v>
      </c>
      <c r="B34" s="7" t="str">
        <f t="shared" si="0"/>
        <v>101</v>
      </c>
      <c r="C34" s="7" t="s">
        <v>8</v>
      </c>
      <c r="D34" s="7" t="s">
        <v>9</v>
      </c>
      <c r="E34" s="7" t="str">
        <f>"吕佳玮"</f>
        <v>吕佳玮</v>
      </c>
      <c r="F34" s="7" t="str">
        <f t="shared" si="8"/>
        <v>女</v>
      </c>
      <c r="G34" s="7" t="s">
        <v>41</v>
      </c>
      <c r="H34" s="8"/>
    </row>
    <row r="35" ht="25" customHeight="1" spans="1:8">
      <c r="A35" s="6">
        <v>33</v>
      </c>
      <c r="B35" s="7" t="str">
        <f t="shared" si="0"/>
        <v>101</v>
      </c>
      <c r="C35" s="7" t="s">
        <v>8</v>
      </c>
      <c r="D35" s="7" t="s">
        <v>9</v>
      </c>
      <c r="E35" s="7" t="str">
        <f>"陈明武"</f>
        <v>陈明武</v>
      </c>
      <c r="F35" s="7" t="str">
        <f t="shared" ref="F35:F38" si="9">"男"</f>
        <v>男</v>
      </c>
      <c r="G35" s="7" t="s">
        <v>42</v>
      </c>
      <c r="H35" s="8"/>
    </row>
    <row r="36" ht="25" customHeight="1" spans="1:8">
      <c r="A36" s="6">
        <v>34</v>
      </c>
      <c r="B36" s="7" t="str">
        <f t="shared" si="0"/>
        <v>101</v>
      </c>
      <c r="C36" s="7" t="s">
        <v>8</v>
      </c>
      <c r="D36" s="7" t="s">
        <v>9</v>
      </c>
      <c r="E36" s="7" t="str">
        <f>"孙歆"</f>
        <v>孙歆</v>
      </c>
      <c r="F36" s="7" t="str">
        <f t="shared" ref="F36:F41" si="10">"女"</f>
        <v>女</v>
      </c>
      <c r="G36" s="7" t="s">
        <v>43</v>
      </c>
      <c r="H36" s="8"/>
    </row>
    <row r="37" ht="25" customHeight="1" spans="1:8">
      <c r="A37" s="6">
        <v>35</v>
      </c>
      <c r="B37" s="7" t="str">
        <f t="shared" si="0"/>
        <v>101</v>
      </c>
      <c r="C37" s="7" t="s">
        <v>8</v>
      </c>
      <c r="D37" s="7" t="s">
        <v>9</v>
      </c>
      <c r="E37" s="7" t="str">
        <f>"罗丁闯"</f>
        <v>罗丁闯</v>
      </c>
      <c r="F37" s="7" t="str">
        <f t="shared" si="9"/>
        <v>男</v>
      </c>
      <c r="G37" s="7" t="s">
        <v>44</v>
      </c>
      <c r="H37" s="8"/>
    </row>
    <row r="38" ht="25" customHeight="1" spans="1:8">
      <c r="A38" s="6">
        <v>36</v>
      </c>
      <c r="B38" s="7" t="str">
        <f t="shared" si="0"/>
        <v>101</v>
      </c>
      <c r="C38" s="7" t="s">
        <v>8</v>
      </c>
      <c r="D38" s="7" t="s">
        <v>9</v>
      </c>
      <c r="E38" s="7" t="str">
        <f>"羊由驹"</f>
        <v>羊由驹</v>
      </c>
      <c r="F38" s="7" t="str">
        <f t="shared" si="9"/>
        <v>男</v>
      </c>
      <c r="G38" s="7" t="s">
        <v>45</v>
      </c>
      <c r="H38" s="8"/>
    </row>
    <row r="39" ht="25" customHeight="1" spans="1:8">
      <c r="A39" s="6">
        <v>37</v>
      </c>
      <c r="B39" s="7" t="str">
        <f t="shared" si="0"/>
        <v>101</v>
      </c>
      <c r="C39" s="7" t="s">
        <v>8</v>
      </c>
      <c r="D39" s="7" t="s">
        <v>9</v>
      </c>
      <c r="E39" s="7" t="str">
        <f>"陈芳慧"</f>
        <v>陈芳慧</v>
      </c>
      <c r="F39" s="7" t="str">
        <f t="shared" si="10"/>
        <v>女</v>
      </c>
      <c r="G39" s="7" t="s">
        <v>46</v>
      </c>
      <c r="H39" s="8"/>
    </row>
    <row r="40" ht="25" customHeight="1" spans="1:8">
      <c r="A40" s="6">
        <v>38</v>
      </c>
      <c r="B40" s="7" t="str">
        <f t="shared" si="0"/>
        <v>101</v>
      </c>
      <c r="C40" s="7" t="s">
        <v>8</v>
      </c>
      <c r="D40" s="7" t="s">
        <v>9</v>
      </c>
      <c r="E40" s="7" t="str">
        <f>"郑霖雪"</f>
        <v>郑霖雪</v>
      </c>
      <c r="F40" s="7" t="str">
        <f t="shared" si="10"/>
        <v>女</v>
      </c>
      <c r="G40" s="7" t="s">
        <v>47</v>
      </c>
      <c r="H40" s="8"/>
    </row>
    <row r="41" ht="25" customHeight="1" spans="1:8">
      <c r="A41" s="6">
        <v>39</v>
      </c>
      <c r="B41" s="7" t="str">
        <f t="shared" si="0"/>
        <v>101</v>
      </c>
      <c r="C41" s="7" t="s">
        <v>8</v>
      </c>
      <c r="D41" s="7" t="s">
        <v>9</v>
      </c>
      <c r="E41" s="7" t="str">
        <f>"吉星芸"</f>
        <v>吉星芸</v>
      </c>
      <c r="F41" s="7" t="str">
        <f t="shared" si="10"/>
        <v>女</v>
      </c>
      <c r="G41" s="7" t="s">
        <v>48</v>
      </c>
      <c r="H41" s="8"/>
    </row>
    <row r="42" ht="25" customHeight="1" spans="1:8">
      <c r="A42" s="6">
        <v>40</v>
      </c>
      <c r="B42" s="7" t="str">
        <f t="shared" si="0"/>
        <v>101</v>
      </c>
      <c r="C42" s="7" t="s">
        <v>8</v>
      </c>
      <c r="D42" s="7" t="s">
        <v>9</v>
      </c>
      <c r="E42" s="7" t="str">
        <f>"李远"</f>
        <v>李远</v>
      </c>
      <c r="F42" s="7" t="str">
        <f t="shared" ref="F42:F46" si="11">"男"</f>
        <v>男</v>
      </c>
      <c r="G42" s="7" t="s">
        <v>49</v>
      </c>
      <c r="H42" s="8"/>
    </row>
    <row r="43" ht="25" customHeight="1" spans="1:8">
      <c r="A43" s="6">
        <v>41</v>
      </c>
      <c r="B43" s="7" t="str">
        <f t="shared" si="0"/>
        <v>101</v>
      </c>
      <c r="C43" s="7" t="s">
        <v>8</v>
      </c>
      <c r="D43" s="7" t="s">
        <v>9</v>
      </c>
      <c r="E43" s="7" t="str">
        <f>"黄文"</f>
        <v>黄文</v>
      </c>
      <c r="F43" s="7" t="str">
        <f t="shared" si="11"/>
        <v>男</v>
      </c>
      <c r="G43" s="7" t="s">
        <v>50</v>
      </c>
      <c r="H43" s="8"/>
    </row>
    <row r="44" ht="25" customHeight="1" spans="1:8">
      <c r="A44" s="6">
        <v>42</v>
      </c>
      <c r="B44" s="7" t="str">
        <f t="shared" si="0"/>
        <v>101</v>
      </c>
      <c r="C44" s="7" t="s">
        <v>8</v>
      </c>
      <c r="D44" s="7" t="s">
        <v>9</v>
      </c>
      <c r="E44" s="7" t="str">
        <f>"陆晓彤"</f>
        <v>陆晓彤</v>
      </c>
      <c r="F44" s="7" t="str">
        <f t="shared" ref="F44:F54" si="12">"女"</f>
        <v>女</v>
      </c>
      <c r="G44" s="7" t="s">
        <v>51</v>
      </c>
      <c r="H44" s="8"/>
    </row>
    <row r="45" ht="25" customHeight="1" spans="1:8">
      <c r="A45" s="6">
        <v>43</v>
      </c>
      <c r="B45" s="7" t="str">
        <f t="shared" si="0"/>
        <v>101</v>
      </c>
      <c r="C45" s="7" t="s">
        <v>8</v>
      </c>
      <c r="D45" s="7" t="s">
        <v>9</v>
      </c>
      <c r="E45" s="7" t="str">
        <f>"孙凯雯"</f>
        <v>孙凯雯</v>
      </c>
      <c r="F45" s="7" t="str">
        <f t="shared" si="12"/>
        <v>女</v>
      </c>
      <c r="G45" s="7" t="s">
        <v>52</v>
      </c>
      <c r="H45" s="8"/>
    </row>
    <row r="46" ht="25" customHeight="1" spans="1:8">
      <c r="A46" s="6">
        <v>44</v>
      </c>
      <c r="B46" s="7" t="str">
        <f t="shared" si="0"/>
        <v>101</v>
      </c>
      <c r="C46" s="7" t="s">
        <v>8</v>
      </c>
      <c r="D46" s="7" t="s">
        <v>9</v>
      </c>
      <c r="E46" s="7" t="str">
        <f>"谢鸿越"</f>
        <v>谢鸿越</v>
      </c>
      <c r="F46" s="7" t="str">
        <f t="shared" si="11"/>
        <v>男</v>
      </c>
      <c r="G46" s="7" t="s">
        <v>53</v>
      </c>
      <c r="H46" s="8"/>
    </row>
    <row r="47" ht="25" customHeight="1" spans="1:8">
      <c r="A47" s="6">
        <v>45</v>
      </c>
      <c r="B47" s="7" t="str">
        <f t="shared" si="0"/>
        <v>101</v>
      </c>
      <c r="C47" s="7" t="s">
        <v>8</v>
      </c>
      <c r="D47" s="7" t="s">
        <v>9</v>
      </c>
      <c r="E47" s="7" t="str">
        <f>"王安桐"</f>
        <v>王安桐</v>
      </c>
      <c r="F47" s="7" t="str">
        <f t="shared" si="12"/>
        <v>女</v>
      </c>
      <c r="G47" s="7" t="s">
        <v>54</v>
      </c>
      <c r="H47" s="8"/>
    </row>
    <row r="48" ht="25" customHeight="1" spans="1:8">
      <c r="A48" s="6">
        <v>46</v>
      </c>
      <c r="B48" s="7" t="str">
        <f t="shared" si="0"/>
        <v>101</v>
      </c>
      <c r="C48" s="7" t="s">
        <v>8</v>
      </c>
      <c r="D48" s="7" t="s">
        <v>9</v>
      </c>
      <c r="E48" s="7" t="str">
        <f>"王才"</f>
        <v>王才</v>
      </c>
      <c r="F48" s="7" t="str">
        <f t="shared" si="12"/>
        <v>女</v>
      </c>
      <c r="G48" s="7" t="s">
        <v>55</v>
      </c>
      <c r="H48" s="8"/>
    </row>
    <row r="49" ht="25" customHeight="1" spans="1:8">
      <c r="A49" s="6">
        <v>47</v>
      </c>
      <c r="B49" s="7" t="str">
        <f t="shared" si="0"/>
        <v>101</v>
      </c>
      <c r="C49" s="7" t="s">
        <v>8</v>
      </c>
      <c r="D49" s="7" t="s">
        <v>9</v>
      </c>
      <c r="E49" s="7" t="str">
        <f>"王彦琳"</f>
        <v>王彦琳</v>
      </c>
      <c r="F49" s="7" t="str">
        <f t="shared" si="12"/>
        <v>女</v>
      </c>
      <c r="G49" s="7" t="s">
        <v>56</v>
      </c>
      <c r="H49" s="8"/>
    </row>
    <row r="50" ht="25" customHeight="1" spans="1:8">
      <c r="A50" s="6">
        <v>48</v>
      </c>
      <c r="B50" s="7" t="str">
        <f t="shared" si="0"/>
        <v>101</v>
      </c>
      <c r="C50" s="7" t="s">
        <v>8</v>
      </c>
      <c r="D50" s="7" t="s">
        <v>9</v>
      </c>
      <c r="E50" s="7" t="str">
        <f>"马丽"</f>
        <v>马丽</v>
      </c>
      <c r="F50" s="7" t="str">
        <f t="shared" si="12"/>
        <v>女</v>
      </c>
      <c r="G50" s="7" t="s">
        <v>57</v>
      </c>
      <c r="H50" s="8"/>
    </row>
    <row r="51" ht="25" customHeight="1" spans="1:8">
      <c r="A51" s="6">
        <v>49</v>
      </c>
      <c r="B51" s="7" t="str">
        <f t="shared" si="0"/>
        <v>101</v>
      </c>
      <c r="C51" s="7" t="s">
        <v>8</v>
      </c>
      <c r="D51" s="7" t="s">
        <v>9</v>
      </c>
      <c r="E51" s="7" t="str">
        <f>"麦树巴"</f>
        <v>麦树巴</v>
      </c>
      <c r="F51" s="7" t="str">
        <f t="shared" si="12"/>
        <v>女</v>
      </c>
      <c r="G51" s="7" t="s">
        <v>58</v>
      </c>
      <c r="H51" s="8"/>
    </row>
    <row r="52" ht="25" customHeight="1" spans="1:8">
      <c r="A52" s="6">
        <v>50</v>
      </c>
      <c r="B52" s="7" t="str">
        <f t="shared" si="0"/>
        <v>101</v>
      </c>
      <c r="C52" s="7" t="s">
        <v>8</v>
      </c>
      <c r="D52" s="7" t="s">
        <v>9</v>
      </c>
      <c r="E52" s="7" t="str">
        <f>"王孟谍"</f>
        <v>王孟谍</v>
      </c>
      <c r="F52" s="7" t="str">
        <f t="shared" si="12"/>
        <v>女</v>
      </c>
      <c r="G52" s="7" t="s">
        <v>59</v>
      </c>
      <c r="H52" s="8"/>
    </row>
    <row r="53" ht="25" customHeight="1" spans="1:8">
      <c r="A53" s="6">
        <v>51</v>
      </c>
      <c r="B53" s="7" t="str">
        <f t="shared" si="0"/>
        <v>101</v>
      </c>
      <c r="C53" s="7" t="s">
        <v>8</v>
      </c>
      <c r="D53" s="7" t="s">
        <v>9</v>
      </c>
      <c r="E53" s="7" t="str">
        <f>"陈美君"</f>
        <v>陈美君</v>
      </c>
      <c r="F53" s="7" t="str">
        <f t="shared" si="12"/>
        <v>女</v>
      </c>
      <c r="G53" s="7" t="s">
        <v>60</v>
      </c>
      <c r="H53" s="8"/>
    </row>
    <row r="54" ht="25" customHeight="1" spans="1:8">
      <c r="A54" s="6">
        <v>52</v>
      </c>
      <c r="B54" s="7" t="str">
        <f t="shared" si="0"/>
        <v>101</v>
      </c>
      <c r="C54" s="7" t="s">
        <v>8</v>
      </c>
      <c r="D54" s="7" t="s">
        <v>9</v>
      </c>
      <c r="E54" s="7" t="str">
        <f>"刘较琴"</f>
        <v>刘较琴</v>
      </c>
      <c r="F54" s="7" t="str">
        <f t="shared" si="12"/>
        <v>女</v>
      </c>
      <c r="G54" s="7" t="s">
        <v>61</v>
      </c>
      <c r="H54" s="8"/>
    </row>
    <row r="55" ht="25" customHeight="1" spans="1:8">
      <c r="A55" s="6">
        <v>53</v>
      </c>
      <c r="B55" s="7" t="str">
        <f t="shared" si="0"/>
        <v>101</v>
      </c>
      <c r="C55" s="7" t="s">
        <v>8</v>
      </c>
      <c r="D55" s="7" t="s">
        <v>9</v>
      </c>
      <c r="E55" s="7" t="str">
        <f>"黄良榜"</f>
        <v>黄良榜</v>
      </c>
      <c r="F55" s="7" t="str">
        <f>"男"</f>
        <v>男</v>
      </c>
      <c r="G55" s="7" t="s">
        <v>62</v>
      </c>
      <c r="H55" s="8"/>
    </row>
    <row r="56" ht="25" customHeight="1" spans="1:8">
      <c r="A56" s="6">
        <v>54</v>
      </c>
      <c r="B56" s="7" t="str">
        <f t="shared" si="0"/>
        <v>101</v>
      </c>
      <c r="C56" s="7" t="s">
        <v>8</v>
      </c>
      <c r="D56" s="7" t="s">
        <v>9</v>
      </c>
      <c r="E56" s="7" t="str">
        <f>"李运涛"</f>
        <v>李运涛</v>
      </c>
      <c r="F56" s="7" t="str">
        <f>"男"</f>
        <v>男</v>
      </c>
      <c r="G56" s="7" t="s">
        <v>63</v>
      </c>
      <c r="H56" s="8"/>
    </row>
    <row r="57" ht="25" customHeight="1" spans="1:8">
      <c r="A57" s="6">
        <v>55</v>
      </c>
      <c r="B57" s="7" t="str">
        <f t="shared" si="0"/>
        <v>101</v>
      </c>
      <c r="C57" s="7" t="s">
        <v>8</v>
      </c>
      <c r="D57" s="7" t="s">
        <v>9</v>
      </c>
      <c r="E57" s="7" t="str">
        <f>"刘涵"</f>
        <v>刘涵</v>
      </c>
      <c r="F57" s="7" t="str">
        <f t="shared" ref="F57:F60" si="13">"女"</f>
        <v>女</v>
      </c>
      <c r="G57" s="7" t="s">
        <v>64</v>
      </c>
      <c r="H57" s="8"/>
    </row>
    <row r="58" ht="25" customHeight="1" spans="1:8">
      <c r="A58" s="6">
        <v>56</v>
      </c>
      <c r="B58" s="7" t="str">
        <f t="shared" si="0"/>
        <v>101</v>
      </c>
      <c r="C58" s="7" t="s">
        <v>8</v>
      </c>
      <c r="D58" s="7" t="s">
        <v>9</v>
      </c>
      <c r="E58" s="7" t="str">
        <f>"王媚"</f>
        <v>王媚</v>
      </c>
      <c r="F58" s="7" t="str">
        <f t="shared" si="13"/>
        <v>女</v>
      </c>
      <c r="G58" s="7" t="s">
        <v>65</v>
      </c>
      <c r="H58" s="8"/>
    </row>
    <row r="59" ht="25" customHeight="1" spans="1:8">
      <c r="A59" s="6">
        <v>57</v>
      </c>
      <c r="B59" s="7" t="str">
        <f t="shared" si="0"/>
        <v>101</v>
      </c>
      <c r="C59" s="7" t="s">
        <v>8</v>
      </c>
      <c r="D59" s="7" t="s">
        <v>9</v>
      </c>
      <c r="E59" s="7" t="str">
        <f>"林桂琴"</f>
        <v>林桂琴</v>
      </c>
      <c r="F59" s="7" t="str">
        <f t="shared" si="13"/>
        <v>女</v>
      </c>
      <c r="G59" s="7" t="s">
        <v>66</v>
      </c>
      <c r="H59" s="8"/>
    </row>
    <row r="60" ht="25" customHeight="1" spans="1:8">
      <c r="A60" s="6">
        <v>58</v>
      </c>
      <c r="B60" s="7" t="str">
        <f t="shared" si="0"/>
        <v>101</v>
      </c>
      <c r="C60" s="7" t="s">
        <v>8</v>
      </c>
      <c r="D60" s="7" t="s">
        <v>9</v>
      </c>
      <c r="E60" s="7" t="str">
        <f>"黄淑珍"</f>
        <v>黄淑珍</v>
      </c>
      <c r="F60" s="7" t="str">
        <f t="shared" si="13"/>
        <v>女</v>
      </c>
      <c r="G60" s="7" t="s">
        <v>67</v>
      </c>
      <c r="H60" s="8"/>
    </row>
    <row r="61" ht="25" customHeight="1" spans="1:8">
      <c r="A61" s="6">
        <v>59</v>
      </c>
      <c r="B61" s="7" t="str">
        <f t="shared" si="0"/>
        <v>101</v>
      </c>
      <c r="C61" s="7" t="s">
        <v>8</v>
      </c>
      <c r="D61" s="7" t="s">
        <v>9</v>
      </c>
      <c r="E61" s="7" t="str">
        <f>"王草秀"</f>
        <v>王草秀</v>
      </c>
      <c r="F61" s="7" t="str">
        <f t="shared" ref="F61:F64" si="14">"男"</f>
        <v>男</v>
      </c>
      <c r="G61" s="7" t="s">
        <v>68</v>
      </c>
      <c r="H61" s="8"/>
    </row>
    <row r="62" ht="25" customHeight="1" spans="1:8">
      <c r="A62" s="6">
        <v>60</v>
      </c>
      <c r="B62" s="7" t="str">
        <f t="shared" si="0"/>
        <v>101</v>
      </c>
      <c r="C62" s="7" t="s">
        <v>8</v>
      </c>
      <c r="D62" s="7" t="s">
        <v>9</v>
      </c>
      <c r="E62" s="7" t="str">
        <f>"林进"</f>
        <v>林进</v>
      </c>
      <c r="F62" s="7" t="str">
        <f t="shared" si="14"/>
        <v>男</v>
      </c>
      <c r="G62" s="7" t="s">
        <v>69</v>
      </c>
      <c r="H62" s="8"/>
    </row>
    <row r="63" ht="25" customHeight="1" spans="1:8">
      <c r="A63" s="6">
        <v>61</v>
      </c>
      <c r="B63" s="7" t="str">
        <f t="shared" si="0"/>
        <v>101</v>
      </c>
      <c r="C63" s="7" t="s">
        <v>8</v>
      </c>
      <c r="D63" s="7" t="s">
        <v>9</v>
      </c>
      <c r="E63" s="7" t="str">
        <f>"周清泉"</f>
        <v>周清泉</v>
      </c>
      <c r="F63" s="7" t="str">
        <f t="shared" si="14"/>
        <v>男</v>
      </c>
      <c r="G63" s="7" t="s">
        <v>70</v>
      </c>
      <c r="H63" s="8"/>
    </row>
    <row r="64" ht="25" customHeight="1" spans="1:8">
      <c r="A64" s="6">
        <v>62</v>
      </c>
      <c r="B64" s="7" t="str">
        <f t="shared" si="0"/>
        <v>101</v>
      </c>
      <c r="C64" s="7" t="s">
        <v>8</v>
      </c>
      <c r="D64" s="7" t="s">
        <v>9</v>
      </c>
      <c r="E64" s="7" t="str">
        <f>"周正良"</f>
        <v>周正良</v>
      </c>
      <c r="F64" s="7" t="str">
        <f t="shared" si="14"/>
        <v>男</v>
      </c>
      <c r="G64" s="7" t="s">
        <v>71</v>
      </c>
      <c r="H64" s="8"/>
    </row>
    <row r="65" ht="25" customHeight="1" spans="1:8">
      <c r="A65" s="6">
        <v>63</v>
      </c>
      <c r="B65" s="7" t="str">
        <f t="shared" si="0"/>
        <v>101</v>
      </c>
      <c r="C65" s="7" t="s">
        <v>8</v>
      </c>
      <c r="D65" s="7" t="s">
        <v>9</v>
      </c>
      <c r="E65" s="7" t="str">
        <f>"张倩"</f>
        <v>张倩</v>
      </c>
      <c r="F65" s="7" t="str">
        <f t="shared" ref="F65:F72" si="15">"女"</f>
        <v>女</v>
      </c>
      <c r="G65" s="7" t="s">
        <v>72</v>
      </c>
      <c r="H65" s="8"/>
    </row>
    <row r="66" ht="25" customHeight="1" spans="1:8">
      <c r="A66" s="6">
        <v>64</v>
      </c>
      <c r="B66" s="7" t="str">
        <f t="shared" si="0"/>
        <v>101</v>
      </c>
      <c r="C66" s="7" t="s">
        <v>8</v>
      </c>
      <c r="D66" s="7" t="s">
        <v>9</v>
      </c>
      <c r="E66" s="7" t="str">
        <f>"董广厅"</f>
        <v>董广厅</v>
      </c>
      <c r="F66" s="7" t="str">
        <f>"男"</f>
        <v>男</v>
      </c>
      <c r="G66" s="7" t="s">
        <v>73</v>
      </c>
      <c r="H66" s="8"/>
    </row>
    <row r="67" ht="25" customHeight="1" spans="1:8">
      <c r="A67" s="6">
        <v>65</v>
      </c>
      <c r="B67" s="7" t="str">
        <f t="shared" ref="B67:B130" si="16">"101"</f>
        <v>101</v>
      </c>
      <c r="C67" s="7" t="s">
        <v>8</v>
      </c>
      <c r="D67" s="7" t="s">
        <v>9</v>
      </c>
      <c r="E67" s="7" t="str">
        <f>"羊井桃"</f>
        <v>羊井桃</v>
      </c>
      <c r="F67" s="7" t="str">
        <f t="shared" si="15"/>
        <v>女</v>
      </c>
      <c r="G67" s="7" t="s">
        <v>74</v>
      </c>
      <c r="H67" s="8"/>
    </row>
    <row r="68" ht="25" customHeight="1" spans="1:8">
      <c r="A68" s="6">
        <v>66</v>
      </c>
      <c r="B68" s="7" t="str">
        <f t="shared" si="16"/>
        <v>101</v>
      </c>
      <c r="C68" s="7" t="s">
        <v>8</v>
      </c>
      <c r="D68" s="7" t="s">
        <v>9</v>
      </c>
      <c r="E68" s="7" t="str">
        <f>"王兵"</f>
        <v>王兵</v>
      </c>
      <c r="F68" s="7" t="str">
        <f>"男"</f>
        <v>男</v>
      </c>
      <c r="G68" s="7" t="s">
        <v>75</v>
      </c>
      <c r="H68" s="8"/>
    </row>
    <row r="69" ht="25" customHeight="1" spans="1:8">
      <c r="A69" s="6">
        <v>67</v>
      </c>
      <c r="B69" s="7" t="str">
        <f t="shared" si="16"/>
        <v>101</v>
      </c>
      <c r="C69" s="7" t="s">
        <v>8</v>
      </c>
      <c r="D69" s="7" t="s">
        <v>9</v>
      </c>
      <c r="E69" s="7" t="str">
        <f>"陈丽敏"</f>
        <v>陈丽敏</v>
      </c>
      <c r="F69" s="7" t="str">
        <f t="shared" si="15"/>
        <v>女</v>
      </c>
      <c r="G69" s="7" t="s">
        <v>76</v>
      </c>
      <c r="H69" s="8"/>
    </row>
    <row r="70" ht="25" customHeight="1" spans="1:8">
      <c r="A70" s="6">
        <v>68</v>
      </c>
      <c r="B70" s="7" t="str">
        <f t="shared" si="16"/>
        <v>101</v>
      </c>
      <c r="C70" s="7" t="s">
        <v>8</v>
      </c>
      <c r="D70" s="7" t="s">
        <v>9</v>
      </c>
      <c r="E70" s="7" t="str">
        <f>"叶嘉敏"</f>
        <v>叶嘉敏</v>
      </c>
      <c r="F70" s="7" t="str">
        <f t="shared" si="15"/>
        <v>女</v>
      </c>
      <c r="G70" s="7" t="s">
        <v>77</v>
      </c>
      <c r="H70" s="8"/>
    </row>
    <row r="71" ht="25" customHeight="1" spans="1:8">
      <c r="A71" s="6">
        <v>69</v>
      </c>
      <c r="B71" s="7" t="str">
        <f t="shared" si="16"/>
        <v>101</v>
      </c>
      <c r="C71" s="7" t="s">
        <v>8</v>
      </c>
      <c r="D71" s="7" t="s">
        <v>9</v>
      </c>
      <c r="E71" s="7" t="str">
        <f>"解铭超"</f>
        <v>解铭超</v>
      </c>
      <c r="F71" s="7" t="str">
        <f t="shared" si="15"/>
        <v>女</v>
      </c>
      <c r="G71" s="7" t="s">
        <v>78</v>
      </c>
      <c r="H71" s="8"/>
    </row>
    <row r="72" ht="25" customHeight="1" spans="1:8">
      <c r="A72" s="6">
        <v>70</v>
      </c>
      <c r="B72" s="7" t="str">
        <f t="shared" si="16"/>
        <v>101</v>
      </c>
      <c r="C72" s="7" t="s">
        <v>8</v>
      </c>
      <c r="D72" s="7" t="s">
        <v>9</v>
      </c>
      <c r="E72" s="7" t="str">
        <f>"屈海丽"</f>
        <v>屈海丽</v>
      </c>
      <c r="F72" s="7" t="str">
        <f t="shared" si="15"/>
        <v>女</v>
      </c>
      <c r="G72" s="7" t="s">
        <v>79</v>
      </c>
      <c r="H72" s="8"/>
    </row>
    <row r="73" ht="25" customHeight="1" spans="1:8">
      <c r="A73" s="6">
        <v>71</v>
      </c>
      <c r="B73" s="7" t="str">
        <f t="shared" si="16"/>
        <v>101</v>
      </c>
      <c r="C73" s="7" t="s">
        <v>8</v>
      </c>
      <c r="D73" s="7" t="s">
        <v>9</v>
      </c>
      <c r="E73" s="7" t="str">
        <f>"林彦成"</f>
        <v>林彦成</v>
      </c>
      <c r="F73" s="7" t="str">
        <f>"男"</f>
        <v>男</v>
      </c>
      <c r="G73" s="7" t="s">
        <v>80</v>
      </c>
      <c r="H73" s="8"/>
    </row>
    <row r="74" ht="25" customHeight="1" spans="1:8">
      <c r="A74" s="6">
        <v>72</v>
      </c>
      <c r="B74" s="7" t="str">
        <f t="shared" si="16"/>
        <v>101</v>
      </c>
      <c r="C74" s="7" t="s">
        <v>8</v>
      </c>
      <c r="D74" s="7" t="s">
        <v>9</v>
      </c>
      <c r="E74" s="7" t="str">
        <f>"曾艳羽"</f>
        <v>曾艳羽</v>
      </c>
      <c r="F74" s="7" t="str">
        <f t="shared" ref="F74:F76" si="17">"女"</f>
        <v>女</v>
      </c>
      <c r="G74" s="7" t="s">
        <v>81</v>
      </c>
      <c r="H74" s="8"/>
    </row>
    <row r="75" ht="25" customHeight="1" spans="1:8">
      <c r="A75" s="6">
        <v>73</v>
      </c>
      <c r="B75" s="7" t="str">
        <f t="shared" si="16"/>
        <v>101</v>
      </c>
      <c r="C75" s="7" t="s">
        <v>8</v>
      </c>
      <c r="D75" s="7" t="s">
        <v>9</v>
      </c>
      <c r="E75" s="7" t="str">
        <f>"吴楚逸"</f>
        <v>吴楚逸</v>
      </c>
      <c r="F75" s="7" t="str">
        <f t="shared" si="17"/>
        <v>女</v>
      </c>
      <c r="G75" s="7" t="s">
        <v>82</v>
      </c>
      <c r="H75" s="8"/>
    </row>
    <row r="76" ht="25" customHeight="1" spans="1:8">
      <c r="A76" s="6">
        <v>74</v>
      </c>
      <c r="B76" s="7" t="str">
        <f t="shared" si="16"/>
        <v>101</v>
      </c>
      <c r="C76" s="7" t="s">
        <v>8</v>
      </c>
      <c r="D76" s="7" t="s">
        <v>9</v>
      </c>
      <c r="E76" s="7" t="str">
        <f>"陈美玲"</f>
        <v>陈美玲</v>
      </c>
      <c r="F76" s="7" t="str">
        <f t="shared" si="17"/>
        <v>女</v>
      </c>
      <c r="G76" s="7" t="s">
        <v>83</v>
      </c>
      <c r="H76" s="8"/>
    </row>
    <row r="77" ht="25" customHeight="1" spans="1:8">
      <c r="A77" s="6">
        <v>75</v>
      </c>
      <c r="B77" s="7" t="str">
        <f t="shared" si="16"/>
        <v>101</v>
      </c>
      <c r="C77" s="7" t="s">
        <v>8</v>
      </c>
      <c r="D77" s="7" t="s">
        <v>9</v>
      </c>
      <c r="E77" s="7" t="str">
        <f>"孙发正"</f>
        <v>孙发正</v>
      </c>
      <c r="F77" s="7" t="str">
        <f t="shared" ref="F77:F81" si="18">"男"</f>
        <v>男</v>
      </c>
      <c r="G77" s="7" t="s">
        <v>84</v>
      </c>
      <c r="H77" s="8"/>
    </row>
    <row r="78" ht="25" customHeight="1" spans="1:8">
      <c r="A78" s="6">
        <v>76</v>
      </c>
      <c r="B78" s="7" t="str">
        <f t="shared" si="16"/>
        <v>101</v>
      </c>
      <c r="C78" s="7" t="s">
        <v>8</v>
      </c>
      <c r="D78" s="7" t="s">
        <v>9</v>
      </c>
      <c r="E78" s="7" t="str">
        <f>"李春飞"</f>
        <v>李春飞</v>
      </c>
      <c r="F78" s="7" t="str">
        <f t="shared" ref="F78:F84" si="19">"女"</f>
        <v>女</v>
      </c>
      <c r="G78" s="7" t="s">
        <v>85</v>
      </c>
      <c r="H78" s="8"/>
    </row>
    <row r="79" ht="25" customHeight="1" spans="1:8">
      <c r="A79" s="6">
        <v>77</v>
      </c>
      <c r="B79" s="7" t="str">
        <f t="shared" si="16"/>
        <v>101</v>
      </c>
      <c r="C79" s="7" t="s">
        <v>8</v>
      </c>
      <c r="D79" s="7" t="s">
        <v>9</v>
      </c>
      <c r="E79" s="7" t="str">
        <f>"周家裕"</f>
        <v>周家裕</v>
      </c>
      <c r="F79" s="7" t="str">
        <f t="shared" si="18"/>
        <v>男</v>
      </c>
      <c r="G79" s="7" t="s">
        <v>86</v>
      </c>
      <c r="H79" s="8"/>
    </row>
    <row r="80" ht="25" customHeight="1" spans="1:8">
      <c r="A80" s="6">
        <v>78</v>
      </c>
      <c r="B80" s="7" t="str">
        <f t="shared" si="16"/>
        <v>101</v>
      </c>
      <c r="C80" s="7" t="s">
        <v>8</v>
      </c>
      <c r="D80" s="7" t="s">
        <v>9</v>
      </c>
      <c r="E80" s="7" t="str">
        <f>"王美金"</f>
        <v>王美金</v>
      </c>
      <c r="F80" s="7" t="str">
        <f t="shared" si="19"/>
        <v>女</v>
      </c>
      <c r="G80" s="7" t="s">
        <v>87</v>
      </c>
      <c r="H80" s="8"/>
    </row>
    <row r="81" ht="25" customHeight="1" spans="1:8">
      <c r="A81" s="6">
        <v>79</v>
      </c>
      <c r="B81" s="7" t="str">
        <f t="shared" si="16"/>
        <v>101</v>
      </c>
      <c r="C81" s="7" t="s">
        <v>8</v>
      </c>
      <c r="D81" s="7" t="s">
        <v>9</v>
      </c>
      <c r="E81" s="7" t="str">
        <f>"冯正"</f>
        <v>冯正</v>
      </c>
      <c r="F81" s="7" t="str">
        <f t="shared" si="18"/>
        <v>男</v>
      </c>
      <c r="G81" s="7" t="s">
        <v>88</v>
      </c>
      <c r="H81" s="8"/>
    </row>
    <row r="82" ht="25" customHeight="1" spans="1:8">
      <c r="A82" s="6">
        <v>80</v>
      </c>
      <c r="B82" s="7" t="str">
        <f t="shared" si="16"/>
        <v>101</v>
      </c>
      <c r="C82" s="7" t="s">
        <v>8</v>
      </c>
      <c r="D82" s="7" t="s">
        <v>9</v>
      </c>
      <c r="E82" s="7" t="str">
        <f>"邢贞珍"</f>
        <v>邢贞珍</v>
      </c>
      <c r="F82" s="7" t="str">
        <f t="shared" si="19"/>
        <v>女</v>
      </c>
      <c r="G82" s="7" t="s">
        <v>89</v>
      </c>
      <c r="H82" s="8"/>
    </row>
    <row r="83" ht="25" customHeight="1" spans="1:8">
      <c r="A83" s="6">
        <v>81</v>
      </c>
      <c r="B83" s="7" t="str">
        <f t="shared" si="16"/>
        <v>101</v>
      </c>
      <c r="C83" s="7" t="s">
        <v>8</v>
      </c>
      <c r="D83" s="7" t="s">
        <v>9</v>
      </c>
      <c r="E83" s="7" t="str">
        <f>"靳慧"</f>
        <v>靳慧</v>
      </c>
      <c r="F83" s="7" t="str">
        <f t="shared" si="19"/>
        <v>女</v>
      </c>
      <c r="G83" s="7" t="s">
        <v>90</v>
      </c>
      <c r="H83" s="8"/>
    </row>
    <row r="84" ht="25" customHeight="1" spans="1:8">
      <c r="A84" s="6">
        <v>82</v>
      </c>
      <c r="B84" s="7" t="str">
        <f t="shared" si="16"/>
        <v>101</v>
      </c>
      <c r="C84" s="7" t="s">
        <v>8</v>
      </c>
      <c r="D84" s="7" t="s">
        <v>9</v>
      </c>
      <c r="E84" s="7" t="str">
        <f>"杨海燕"</f>
        <v>杨海燕</v>
      </c>
      <c r="F84" s="7" t="str">
        <f t="shared" si="19"/>
        <v>女</v>
      </c>
      <c r="G84" s="7" t="s">
        <v>91</v>
      </c>
      <c r="H84" s="8"/>
    </row>
    <row r="85" ht="25" customHeight="1" spans="1:8">
      <c r="A85" s="6">
        <v>83</v>
      </c>
      <c r="B85" s="7" t="str">
        <f t="shared" si="16"/>
        <v>101</v>
      </c>
      <c r="C85" s="7" t="s">
        <v>8</v>
      </c>
      <c r="D85" s="7" t="s">
        <v>9</v>
      </c>
      <c r="E85" s="7" t="str">
        <f>"陆俊宇"</f>
        <v>陆俊宇</v>
      </c>
      <c r="F85" s="7" t="str">
        <f t="shared" ref="F85:F91" si="20">"男"</f>
        <v>男</v>
      </c>
      <c r="G85" s="7" t="s">
        <v>92</v>
      </c>
      <c r="H85" s="8"/>
    </row>
    <row r="86" ht="25" customHeight="1" spans="1:8">
      <c r="A86" s="6">
        <v>84</v>
      </c>
      <c r="B86" s="7" t="str">
        <f t="shared" si="16"/>
        <v>101</v>
      </c>
      <c r="C86" s="7" t="s">
        <v>8</v>
      </c>
      <c r="D86" s="7" t="s">
        <v>9</v>
      </c>
      <c r="E86" s="7" t="str">
        <f>"文昌菊"</f>
        <v>文昌菊</v>
      </c>
      <c r="F86" s="7" t="str">
        <f>"女"</f>
        <v>女</v>
      </c>
      <c r="G86" s="7" t="s">
        <v>93</v>
      </c>
      <c r="H86" s="8"/>
    </row>
    <row r="87" ht="25" customHeight="1" spans="1:8">
      <c r="A87" s="6">
        <v>85</v>
      </c>
      <c r="B87" s="7" t="str">
        <f t="shared" si="16"/>
        <v>101</v>
      </c>
      <c r="C87" s="7" t="s">
        <v>8</v>
      </c>
      <c r="D87" s="7" t="s">
        <v>9</v>
      </c>
      <c r="E87" s="7" t="str">
        <f>"钟浩东"</f>
        <v>钟浩东</v>
      </c>
      <c r="F87" s="7" t="str">
        <f t="shared" si="20"/>
        <v>男</v>
      </c>
      <c r="G87" s="7" t="s">
        <v>94</v>
      </c>
      <c r="H87" s="8"/>
    </row>
    <row r="88" ht="25" customHeight="1" spans="1:8">
      <c r="A88" s="6">
        <v>86</v>
      </c>
      <c r="B88" s="7" t="str">
        <f t="shared" si="16"/>
        <v>101</v>
      </c>
      <c r="C88" s="7" t="s">
        <v>8</v>
      </c>
      <c r="D88" s="7" t="s">
        <v>9</v>
      </c>
      <c r="E88" s="7" t="str">
        <f>"袁成文"</f>
        <v>袁成文</v>
      </c>
      <c r="F88" s="7" t="str">
        <f t="shared" si="20"/>
        <v>男</v>
      </c>
      <c r="G88" s="7" t="s">
        <v>95</v>
      </c>
      <c r="H88" s="8"/>
    </row>
    <row r="89" ht="25" customHeight="1" spans="1:8">
      <c r="A89" s="6">
        <v>87</v>
      </c>
      <c r="B89" s="7" t="str">
        <f t="shared" si="16"/>
        <v>101</v>
      </c>
      <c r="C89" s="7" t="s">
        <v>8</v>
      </c>
      <c r="D89" s="7" t="s">
        <v>9</v>
      </c>
      <c r="E89" s="7" t="str">
        <f>"陈乾"</f>
        <v>陈乾</v>
      </c>
      <c r="F89" s="7" t="str">
        <f t="shared" si="20"/>
        <v>男</v>
      </c>
      <c r="G89" s="7" t="s">
        <v>96</v>
      </c>
      <c r="H89" s="8"/>
    </row>
    <row r="90" ht="25" customHeight="1" spans="1:8">
      <c r="A90" s="6">
        <v>88</v>
      </c>
      <c r="B90" s="7" t="str">
        <f t="shared" si="16"/>
        <v>101</v>
      </c>
      <c r="C90" s="7" t="s">
        <v>8</v>
      </c>
      <c r="D90" s="7" t="s">
        <v>9</v>
      </c>
      <c r="E90" s="7" t="str">
        <f>"符厚华"</f>
        <v>符厚华</v>
      </c>
      <c r="F90" s="7" t="str">
        <f t="shared" si="20"/>
        <v>男</v>
      </c>
      <c r="G90" s="7" t="s">
        <v>97</v>
      </c>
      <c r="H90" s="8"/>
    </row>
    <row r="91" ht="25" customHeight="1" spans="1:8">
      <c r="A91" s="6">
        <v>89</v>
      </c>
      <c r="B91" s="7" t="str">
        <f t="shared" si="16"/>
        <v>101</v>
      </c>
      <c r="C91" s="7" t="s">
        <v>8</v>
      </c>
      <c r="D91" s="7" t="s">
        <v>9</v>
      </c>
      <c r="E91" s="7" t="str">
        <f>"孙利晔"</f>
        <v>孙利晔</v>
      </c>
      <c r="F91" s="7" t="str">
        <f t="shared" si="20"/>
        <v>男</v>
      </c>
      <c r="G91" s="7" t="s">
        <v>98</v>
      </c>
      <c r="H91" s="8"/>
    </row>
    <row r="92" ht="25" customHeight="1" spans="1:8">
      <c r="A92" s="6">
        <v>90</v>
      </c>
      <c r="B92" s="7" t="str">
        <f t="shared" si="16"/>
        <v>101</v>
      </c>
      <c r="C92" s="7" t="s">
        <v>8</v>
      </c>
      <c r="D92" s="7" t="s">
        <v>9</v>
      </c>
      <c r="E92" s="7" t="str">
        <f>"李绍芳"</f>
        <v>李绍芳</v>
      </c>
      <c r="F92" s="7" t="str">
        <f t="shared" ref="F92:F99" si="21">"女"</f>
        <v>女</v>
      </c>
      <c r="G92" s="7" t="s">
        <v>99</v>
      </c>
      <c r="H92" s="8"/>
    </row>
    <row r="93" ht="25" customHeight="1" spans="1:8">
      <c r="A93" s="6">
        <v>91</v>
      </c>
      <c r="B93" s="7" t="str">
        <f t="shared" si="16"/>
        <v>101</v>
      </c>
      <c r="C93" s="7" t="s">
        <v>8</v>
      </c>
      <c r="D93" s="7" t="s">
        <v>9</v>
      </c>
      <c r="E93" s="7" t="str">
        <f>"杨泽洲"</f>
        <v>杨泽洲</v>
      </c>
      <c r="F93" s="7" t="str">
        <f>"男"</f>
        <v>男</v>
      </c>
      <c r="G93" s="7" t="s">
        <v>100</v>
      </c>
      <c r="H93" s="8"/>
    </row>
    <row r="94" ht="25" customHeight="1" spans="1:8">
      <c r="A94" s="6">
        <v>92</v>
      </c>
      <c r="B94" s="7" t="str">
        <f t="shared" si="16"/>
        <v>101</v>
      </c>
      <c r="C94" s="7" t="s">
        <v>8</v>
      </c>
      <c r="D94" s="7" t="s">
        <v>9</v>
      </c>
      <c r="E94" s="7" t="str">
        <f>"王晓岚"</f>
        <v>王晓岚</v>
      </c>
      <c r="F94" s="7" t="str">
        <f t="shared" si="21"/>
        <v>女</v>
      </c>
      <c r="G94" s="7" t="s">
        <v>101</v>
      </c>
      <c r="H94" s="8"/>
    </row>
    <row r="95" ht="25" customHeight="1" spans="1:8">
      <c r="A95" s="6">
        <v>93</v>
      </c>
      <c r="B95" s="7" t="str">
        <f t="shared" si="16"/>
        <v>101</v>
      </c>
      <c r="C95" s="7" t="s">
        <v>8</v>
      </c>
      <c r="D95" s="7" t="s">
        <v>9</v>
      </c>
      <c r="E95" s="7" t="str">
        <f>"周卓璟"</f>
        <v>周卓璟</v>
      </c>
      <c r="F95" s="7" t="str">
        <f t="shared" si="21"/>
        <v>女</v>
      </c>
      <c r="G95" s="7" t="s">
        <v>102</v>
      </c>
      <c r="H95" s="8"/>
    </row>
    <row r="96" ht="25" customHeight="1" spans="1:8">
      <c r="A96" s="6">
        <v>94</v>
      </c>
      <c r="B96" s="7" t="str">
        <f t="shared" si="16"/>
        <v>101</v>
      </c>
      <c r="C96" s="7" t="s">
        <v>8</v>
      </c>
      <c r="D96" s="7" t="s">
        <v>9</v>
      </c>
      <c r="E96" s="7" t="str">
        <f>"王玉玉"</f>
        <v>王玉玉</v>
      </c>
      <c r="F96" s="7" t="str">
        <f t="shared" si="21"/>
        <v>女</v>
      </c>
      <c r="G96" s="7" t="s">
        <v>103</v>
      </c>
      <c r="H96" s="8"/>
    </row>
    <row r="97" ht="25" customHeight="1" spans="1:8">
      <c r="A97" s="6">
        <v>95</v>
      </c>
      <c r="B97" s="7" t="str">
        <f t="shared" si="16"/>
        <v>101</v>
      </c>
      <c r="C97" s="7" t="s">
        <v>8</v>
      </c>
      <c r="D97" s="7" t="s">
        <v>9</v>
      </c>
      <c r="E97" s="7" t="str">
        <f>"黄琼瑜"</f>
        <v>黄琼瑜</v>
      </c>
      <c r="F97" s="7" t="str">
        <f t="shared" si="21"/>
        <v>女</v>
      </c>
      <c r="G97" s="7" t="s">
        <v>104</v>
      </c>
      <c r="H97" s="8"/>
    </row>
    <row r="98" ht="25" customHeight="1" spans="1:8">
      <c r="A98" s="6">
        <v>96</v>
      </c>
      <c r="B98" s="7" t="str">
        <f t="shared" si="16"/>
        <v>101</v>
      </c>
      <c r="C98" s="7" t="s">
        <v>8</v>
      </c>
      <c r="D98" s="7" t="s">
        <v>9</v>
      </c>
      <c r="E98" s="7" t="str">
        <f>"李佳琳"</f>
        <v>李佳琳</v>
      </c>
      <c r="F98" s="7" t="str">
        <f t="shared" si="21"/>
        <v>女</v>
      </c>
      <c r="G98" s="7" t="s">
        <v>105</v>
      </c>
      <c r="H98" s="8"/>
    </row>
    <row r="99" ht="25" customHeight="1" spans="1:8">
      <c r="A99" s="6">
        <v>97</v>
      </c>
      <c r="B99" s="7" t="str">
        <f t="shared" si="16"/>
        <v>101</v>
      </c>
      <c r="C99" s="7" t="s">
        <v>8</v>
      </c>
      <c r="D99" s="7" t="s">
        <v>9</v>
      </c>
      <c r="E99" s="7" t="str">
        <f>"黎庆星"</f>
        <v>黎庆星</v>
      </c>
      <c r="F99" s="7" t="str">
        <f t="shared" si="21"/>
        <v>女</v>
      </c>
      <c r="G99" s="7" t="s">
        <v>106</v>
      </c>
      <c r="H99" s="8"/>
    </row>
    <row r="100" ht="25" customHeight="1" spans="1:8">
      <c r="A100" s="6">
        <v>98</v>
      </c>
      <c r="B100" s="7" t="str">
        <f t="shared" si="16"/>
        <v>101</v>
      </c>
      <c r="C100" s="7" t="s">
        <v>8</v>
      </c>
      <c r="D100" s="7" t="s">
        <v>9</v>
      </c>
      <c r="E100" s="7" t="str">
        <f>"滕龙"</f>
        <v>滕龙</v>
      </c>
      <c r="F100" s="7" t="str">
        <f t="shared" ref="F100:F105" si="22">"男"</f>
        <v>男</v>
      </c>
      <c r="G100" s="7" t="s">
        <v>107</v>
      </c>
      <c r="H100" s="8"/>
    </row>
    <row r="101" ht="25" customHeight="1" spans="1:8">
      <c r="A101" s="6">
        <v>99</v>
      </c>
      <c r="B101" s="7" t="str">
        <f t="shared" si="16"/>
        <v>101</v>
      </c>
      <c r="C101" s="7" t="s">
        <v>8</v>
      </c>
      <c r="D101" s="7" t="s">
        <v>9</v>
      </c>
      <c r="E101" s="7" t="str">
        <f>"李琴"</f>
        <v>李琴</v>
      </c>
      <c r="F101" s="7" t="str">
        <f t="shared" ref="F101:F103" si="23">"女"</f>
        <v>女</v>
      </c>
      <c r="G101" s="7" t="s">
        <v>108</v>
      </c>
      <c r="H101" s="8"/>
    </row>
    <row r="102" ht="25" customHeight="1" spans="1:8">
      <c r="A102" s="6">
        <v>100</v>
      </c>
      <c r="B102" s="7" t="str">
        <f t="shared" si="16"/>
        <v>101</v>
      </c>
      <c r="C102" s="7" t="s">
        <v>8</v>
      </c>
      <c r="D102" s="7" t="s">
        <v>9</v>
      </c>
      <c r="E102" s="7" t="str">
        <f>"陈秀蓓"</f>
        <v>陈秀蓓</v>
      </c>
      <c r="F102" s="7" t="str">
        <f t="shared" si="23"/>
        <v>女</v>
      </c>
      <c r="G102" s="7" t="s">
        <v>109</v>
      </c>
      <c r="H102" s="8"/>
    </row>
    <row r="103" ht="25" customHeight="1" spans="1:8">
      <c r="A103" s="6">
        <v>101</v>
      </c>
      <c r="B103" s="7" t="str">
        <f t="shared" si="16"/>
        <v>101</v>
      </c>
      <c r="C103" s="7" t="s">
        <v>8</v>
      </c>
      <c r="D103" s="7" t="s">
        <v>9</v>
      </c>
      <c r="E103" s="7" t="str">
        <f>"陈云爱"</f>
        <v>陈云爱</v>
      </c>
      <c r="F103" s="7" t="str">
        <f t="shared" si="23"/>
        <v>女</v>
      </c>
      <c r="G103" s="7" t="s">
        <v>110</v>
      </c>
      <c r="H103" s="8"/>
    </row>
    <row r="104" ht="25" customHeight="1" spans="1:8">
      <c r="A104" s="6">
        <v>102</v>
      </c>
      <c r="B104" s="7" t="str">
        <f t="shared" si="16"/>
        <v>101</v>
      </c>
      <c r="C104" s="7" t="s">
        <v>8</v>
      </c>
      <c r="D104" s="7" t="s">
        <v>9</v>
      </c>
      <c r="E104" s="7" t="str">
        <f>"冯国子"</f>
        <v>冯国子</v>
      </c>
      <c r="F104" s="7" t="str">
        <f t="shared" si="22"/>
        <v>男</v>
      </c>
      <c r="G104" s="7" t="s">
        <v>111</v>
      </c>
      <c r="H104" s="8"/>
    </row>
    <row r="105" ht="25" customHeight="1" spans="1:8">
      <c r="A105" s="6">
        <v>103</v>
      </c>
      <c r="B105" s="7" t="str">
        <f t="shared" si="16"/>
        <v>101</v>
      </c>
      <c r="C105" s="7" t="s">
        <v>8</v>
      </c>
      <c r="D105" s="7" t="s">
        <v>9</v>
      </c>
      <c r="E105" s="7" t="str">
        <f>"陈翅洪"</f>
        <v>陈翅洪</v>
      </c>
      <c r="F105" s="7" t="str">
        <f t="shared" si="22"/>
        <v>男</v>
      </c>
      <c r="G105" s="7" t="s">
        <v>112</v>
      </c>
      <c r="H105" s="8"/>
    </row>
    <row r="106" ht="25" customHeight="1" spans="1:8">
      <c r="A106" s="6">
        <v>104</v>
      </c>
      <c r="B106" s="7" t="str">
        <f t="shared" si="16"/>
        <v>101</v>
      </c>
      <c r="C106" s="7" t="s">
        <v>8</v>
      </c>
      <c r="D106" s="7" t="s">
        <v>9</v>
      </c>
      <c r="E106" s="7" t="str">
        <f>"郑晓燕"</f>
        <v>郑晓燕</v>
      </c>
      <c r="F106" s="7" t="str">
        <f t="shared" ref="F106:F108" si="24">"女"</f>
        <v>女</v>
      </c>
      <c r="G106" s="7" t="s">
        <v>113</v>
      </c>
      <c r="H106" s="8"/>
    </row>
    <row r="107" ht="25" customHeight="1" spans="1:8">
      <c r="A107" s="6">
        <v>105</v>
      </c>
      <c r="B107" s="7" t="str">
        <f t="shared" si="16"/>
        <v>101</v>
      </c>
      <c r="C107" s="7" t="s">
        <v>8</v>
      </c>
      <c r="D107" s="7" t="s">
        <v>9</v>
      </c>
      <c r="E107" s="7" t="str">
        <f>"石婕"</f>
        <v>石婕</v>
      </c>
      <c r="F107" s="7" t="str">
        <f t="shared" si="24"/>
        <v>女</v>
      </c>
      <c r="G107" s="7" t="s">
        <v>114</v>
      </c>
      <c r="H107" s="8"/>
    </row>
    <row r="108" ht="25" customHeight="1" spans="1:8">
      <c r="A108" s="6">
        <v>106</v>
      </c>
      <c r="B108" s="7" t="str">
        <f t="shared" si="16"/>
        <v>101</v>
      </c>
      <c r="C108" s="7" t="s">
        <v>8</v>
      </c>
      <c r="D108" s="7" t="s">
        <v>9</v>
      </c>
      <c r="E108" s="7" t="str">
        <f>"卓圆梦"</f>
        <v>卓圆梦</v>
      </c>
      <c r="F108" s="7" t="str">
        <f t="shared" si="24"/>
        <v>女</v>
      </c>
      <c r="G108" s="7" t="s">
        <v>115</v>
      </c>
      <c r="H108" s="8"/>
    </row>
    <row r="109" ht="25" customHeight="1" spans="1:8">
      <c r="A109" s="6">
        <v>107</v>
      </c>
      <c r="B109" s="7" t="str">
        <f t="shared" si="16"/>
        <v>101</v>
      </c>
      <c r="C109" s="7" t="s">
        <v>8</v>
      </c>
      <c r="D109" s="7" t="s">
        <v>9</v>
      </c>
      <c r="E109" s="7" t="str">
        <f>"符鑫"</f>
        <v>符鑫</v>
      </c>
      <c r="F109" s="7" t="str">
        <f t="shared" ref="F109:F118" si="25">"男"</f>
        <v>男</v>
      </c>
      <c r="G109" s="7" t="s">
        <v>116</v>
      </c>
      <c r="H109" s="8"/>
    </row>
    <row r="110" ht="25" customHeight="1" spans="1:8">
      <c r="A110" s="6">
        <v>108</v>
      </c>
      <c r="B110" s="7" t="str">
        <f t="shared" si="16"/>
        <v>101</v>
      </c>
      <c r="C110" s="7" t="s">
        <v>8</v>
      </c>
      <c r="D110" s="7" t="s">
        <v>9</v>
      </c>
      <c r="E110" s="7" t="str">
        <f>"王丽莹"</f>
        <v>王丽莹</v>
      </c>
      <c r="F110" s="7" t="str">
        <f>"女"</f>
        <v>女</v>
      </c>
      <c r="G110" s="7" t="s">
        <v>117</v>
      </c>
      <c r="H110" s="8"/>
    </row>
    <row r="111" ht="25" customHeight="1" spans="1:8">
      <c r="A111" s="6">
        <v>109</v>
      </c>
      <c r="B111" s="7" t="str">
        <f t="shared" si="16"/>
        <v>101</v>
      </c>
      <c r="C111" s="7" t="s">
        <v>8</v>
      </c>
      <c r="D111" s="7" t="s">
        <v>9</v>
      </c>
      <c r="E111" s="7" t="str">
        <f>"李巧莉"</f>
        <v>李巧莉</v>
      </c>
      <c r="F111" s="7" t="str">
        <f>"女"</f>
        <v>女</v>
      </c>
      <c r="G111" s="7" t="s">
        <v>23</v>
      </c>
      <c r="H111" s="8"/>
    </row>
    <row r="112" ht="25" customHeight="1" spans="1:8">
      <c r="A112" s="6">
        <v>110</v>
      </c>
      <c r="B112" s="7" t="str">
        <f t="shared" si="16"/>
        <v>101</v>
      </c>
      <c r="C112" s="7" t="s">
        <v>8</v>
      </c>
      <c r="D112" s="7" t="s">
        <v>9</v>
      </c>
      <c r="E112" s="7" t="str">
        <f>"陈太夫"</f>
        <v>陈太夫</v>
      </c>
      <c r="F112" s="7" t="str">
        <f t="shared" si="25"/>
        <v>男</v>
      </c>
      <c r="G112" s="7" t="s">
        <v>118</v>
      </c>
      <c r="H112" s="8"/>
    </row>
    <row r="113" ht="25" customHeight="1" spans="1:8">
      <c r="A113" s="6">
        <v>111</v>
      </c>
      <c r="B113" s="7" t="str">
        <f t="shared" si="16"/>
        <v>101</v>
      </c>
      <c r="C113" s="7" t="s">
        <v>8</v>
      </c>
      <c r="D113" s="7" t="s">
        <v>9</v>
      </c>
      <c r="E113" s="7" t="str">
        <f>"李秋余"</f>
        <v>李秋余</v>
      </c>
      <c r="F113" s="7" t="str">
        <f t="shared" si="25"/>
        <v>男</v>
      </c>
      <c r="G113" s="7" t="s">
        <v>119</v>
      </c>
      <c r="H113" s="8"/>
    </row>
    <row r="114" ht="25" customHeight="1" spans="1:8">
      <c r="A114" s="6">
        <v>112</v>
      </c>
      <c r="B114" s="7" t="str">
        <f t="shared" si="16"/>
        <v>101</v>
      </c>
      <c r="C114" s="7" t="s">
        <v>8</v>
      </c>
      <c r="D114" s="7" t="s">
        <v>9</v>
      </c>
      <c r="E114" s="7" t="str">
        <f>"姚国铭"</f>
        <v>姚国铭</v>
      </c>
      <c r="F114" s="7" t="str">
        <f t="shared" si="25"/>
        <v>男</v>
      </c>
      <c r="G114" s="7" t="s">
        <v>120</v>
      </c>
      <c r="H114" s="8"/>
    </row>
    <row r="115" ht="25" customHeight="1" spans="1:8">
      <c r="A115" s="6">
        <v>113</v>
      </c>
      <c r="B115" s="7" t="str">
        <f t="shared" si="16"/>
        <v>101</v>
      </c>
      <c r="C115" s="7" t="s">
        <v>8</v>
      </c>
      <c r="D115" s="7" t="s">
        <v>9</v>
      </c>
      <c r="E115" s="7" t="str">
        <f>"谢海弟"</f>
        <v>谢海弟</v>
      </c>
      <c r="F115" s="7" t="str">
        <f t="shared" si="25"/>
        <v>男</v>
      </c>
      <c r="G115" s="7" t="s">
        <v>121</v>
      </c>
      <c r="H115" s="8"/>
    </row>
    <row r="116" ht="25" customHeight="1" spans="1:8">
      <c r="A116" s="6">
        <v>114</v>
      </c>
      <c r="B116" s="7" t="str">
        <f t="shared" si="16"/>
        <v>101</v>
      </c>
      <c r="C116" s="7" t="s">
        <v>8</v>
      </c>
      <c r="D116" s="7" t="s">
        <v>9</v>
      </c>
      <c r="E116" s="7" t="str">
        <f>"龚业荃"</f>
        <v>龚业荃</v>
      </c>
      <c r="F116" s="7" t="str">
        <f t="shared" si="25"/>
        <v>男</v>
      </c>
      <c r="G116" s="7" t="s">
        <v>122</v>
      </c>
      <c r="H116" s="8"/>
    </row>
    <row r="117" ht="25" customHeight="1" spans="1:8">
      <c r="A117" s="6">
        <v>115</v>
      </c>
      <c r="B117" s="7" t="str">
        <f t="shared" si="16"/>
        <v>101</v>
      </c>
      <c r="C117" s="7" t="s">
        <v>8</v>
      </c>
      <c r="D117" s="7" t="s">
        <v>9</v>
      </c>
      <c r="E117" s="7" t="str">
        <f>"钟有鑫"</f>
        <v>钟有鑫</v>
      </c>
      <c r="F117" s="7" t="str">
        <f t="shared" si="25"/>
        <v>男</v>
      </c>
      <c r="G117" s="7" t="s">
        <v>123</v>
      </c>
      <c r="H117" s="8"/>
    </row>
    <row r="118" ht="25" customHeight="1" spans="1:8">
      <c r="A118" s="6">
        <v>116</v>
      </c>
      <c r="B118" s="7" t="str">
        <f t="shared" si="16"/>
        <v>101</v>
      </c>
      <c r="C118" s="7" t="s">
        <v>8</v>
      </c>
      <c r="D118" s="7" t="s">
        <v>9</v>
      </c>
      <c r="E118" s="7" t="str">
        <f>"何健良"</f>
        <v>何健良</v>
      </c>
      <c r="F118" s="7" t="str">
        <f t="shared" si="25"/>
        <v>男</v>
      </c>
      <c r="G118" s="7" t="s">
        <v>124</v>
      </c>
      <c r="H118" s="8"/>
    </row>
    <row r="119" ht="25" customHeight="1" spans="1:8">
      <c r="A119" s="6">
        <v>117</v>
      </c>
      <c r="B119" s="7" t="str">
        <f t="shared" si="16"/>
        <v>101</v>
      </c>
      <c r="C119" s="7" t="s">
        <v>8</v>
      </c>
      <c r="D119" s="7" t="s">
        <v>9</v>
      </c>
      <c r="E119" s="7" t="str">
        <f>"王舒"</f>
        <v>王舒</v>
      </c>
      <c r="F119" s="7" t="str">
        <f t="shared" ref="F119:F123" si="26">"女"</f>
        <v>女</v>
      </c>
      <c r="G119" s="7" t="s">
        <v>125</v>
      </c>
      <c r="H119" s="8"/>
    </row>
    <row r="120" ht="25" customHeight="1" spans="1:8">
      <c r="A120" s="6">
        <v>118</v>
      </c>
      <c r="B120" s="7" t="str">
        <f t="shared" si="16"/>
        <v>101</v>
      </c>
      <c r="C120" s="7" t="s">
        <v>8</v>
      </c>
      <c r="D120" s="7" t="s">
        <v>9</v>
      </c>
      <c r="E120" s="7" t="str">
        <f>"高敏贵"</f>
        <v>高敏贵</v>
      </c>
      <c r="F120" s="7" t="str">
        <f t="shared" ref="F120:F124" si="27">"男"</f>
        <v>男</v>
      </c>
      <c r="G120" s="7" t="s">
        <v>126</v>
      </c>
      <c r="H120" s="8"/>
    </row>
    <row r="121" ht="25" customHeight="1" spans="1:8">
      <c r="A121" s="6">
        <v>119</v>
      </c>
      <c r="B121" s="7" t="str">
        <f t="shared" si="16"/>
        <v>101</v>
      </c>
      <c r="C121" s="7" t="s">
        <v>8</v>
      </c>
      <c r="D121" s="7" t="s">
        <v>9</v>
      </c>
      <c r="E121" s="7" t="str">
        <f>"耿洁"</f>
        <v>耿洁</v>
      </c>
      <c r="F121" s="7" t="str">
        <f t="shared" si="26"/>
        <v>女</v>
      </c>
      <c r="G121" s="7" t="s">
        <v>127</v>
      </c>
      <c r="H121" s="8"/>
    </row>
    <row r="122" ht="25" customHeight="1" spans="1:8">
      <c r="A122" s="6">
        <v>120</v>
      </c>
      <c r="B122" s="7" t="str">
        <f t="shared" si="16"/>
        <v>101</v>
      </c>
      <c r="C122" s="7" t="s">
        <v>8</v>
      </c>
      <c r="D122" s="7" t="s">
        <v>9</v>
      </c>
      <c r="E122" s="7" t="str">
        <f>"林友芳"</f>
        <v>林友芳</v>
      </c>
      <c r="F122" s="7" t="str">
        <f t="shared" si="27"/>
        <v>男</v>
      </c>
      <c r="G122" s="7" t="s">
        <v>128</v>
      </c>
      <c r="H122" s="8"/>
    </row>
    <row r="123" ht="25" customHeight="1" spans="1:8">
      <c r="A123" s="6">
        <v>121</v>
      </c>
      <c r="B123" s="7" t="str">
        <f t="shared" si="16"/>
        <v>101</v>
      </c>
      <c r="C123" s="7" t="s">
        <v>8</v>
      </c>
      <c r="D123" s="7" t="s">
        <v>9</v>
      </c>
      <c r="E123" s="7" t="str">
        <f>"刘艺霖"</f>
        <v>刘艺霖</v>
      </c>
      <c r="F123" s="7" t="str">
        <f t="shared" si="26"/>
        <v>女</v>
      </c>
      <c r="G123" s="7" t="s">
        <v>129</v>
      </c>
      <c r="H123" s="8"/>
    </row>
    <row r="124" ht="25" customHeight="1" spans="1:8">
      <c r="A124" s="6">
        <v>122</v>
      </c>
      <c r="B124" s="7" t="str">
        <f t="shared" si="16"/>
        <v>101</v>
      </c>
      <c r="C124" s="7" t="s">
        <v>8</v>
      </c>
      <c r="D124" s="7" t="s">
        <v>9</v>
      </c>
      <c r="E124" s="7" t="str">
        <f>"陈贤里"</f>
        <v>陈贤里</v>
      </c>
      <c r="F124" s="7" t="str">
        <f t="shared" si="27"/>
        <v>男</v>
      </c>
      <c r="G124" s="7" t="s">
        <v>130</v>
      </c>
      <c r="H124" s="8"/>
    </row>
    <row r="125" ht="25" customHeight="1" spans="1:8">
      <c r="A125" s="6">
        <v>123</v>
      </c>
      <c r="B125" s="7" t="str">
        <f t="shared" si="16"/>
        <v>101</v>
      </c>
      <c r="C125" s="7" t="s">
        <v>8</v>
      </c>
      <c r="D125" s="7" t="s">
        <v>9</v>
      </c>
      <c r="E125" s="7" t="str">
        <f>"羊桂芳"</f>
        <v>羊桂芳</v>
      </c>
      <c r="F125" s="7" t="str">
        <f t="shared" ref="F125:F129" si="28">"女"</f>
        <v>女</v>
      </c>
      <c r="G125" s="7" t="s">
        <v>131</v>
      </c>
      <c r="H125" s="8"/>
    </row>
    <row r="126" ht="25" customHeight="1" spans="1:8">
      <c r="A126" s="6">
        <v>124</v>
      </c>
      <c r="B126" s="7" t="str">
        <f t="shared" si="16"/>
        <v>101</v>
      </c>
      <c r="C126" s="7" t="s">
        <v>8</v>
      </c>
      <c r="D126" s="7" t="s">
        <v>9</v>
      </c>
      <c r="E126" s="7" t="str">
        <f>"潘韵宇"</f>
        <v>潘韵宇</v>
      </c>
      <c r="F126" s="7" t="str">
        <f t="shared" si="28"/>
        <v>女</v>
      </c>
      <c r="G126" s="7" t="s">
        <v>132</v>
      </c>
      <c r="H126" s="8"/>
    </row>
    <row r="127" ht="25" customHeight="1" spans="1:8">
      <c r="A127" s="6">
        <v>125</v>
      </c>
      <c r="B127" s="7" t="str">
        <f t="shared" si="16"/>
        <v>101</v>
      </c>
      <c r="C127" s="7" t="s">
        <v>8</v>
      </c>
      <c r="D127" s="7" t="s">
        <v>9</v>
      </c>
      <c r="E127" s="7" t="str">
        <f>"王英荣"</f>
        <v>王英荣</v>
      </c>
      <c r="F127" s="7" t="str">
        <f t="shared" si="28"/>
        <v>女</v>
      </c>
      <c r="G127" s="7" t="s">
        <v>133</v>
      </c>
      <c r="H127" s="8"/>
    </row>
    <row r="128" ht="25" customHeight="1" spans="1:8">
      <c r="A128" s="6">
        <v>126</v>
      </c>
      <c r="B128" s="7" t="str">
        <f t="shared" si="16"/>
        <v>101</v>
      </c>
      <c r="C128" s="7" t="s">
        <v>8</v>
      </c>
      <c r="D128" s="7" t="s">
        <v>9</v>
      </c>
      <c r="E128" s="7" t="str">
        <f>"陈琦双"</f>
        <v>陈琦双</v>
      </c>
      <c r="F128" s="7" t="str">
        <f t="shared" si="28"/>
        <v>女</v>
      </c>
      <c r="G128" s="7" t="s">
        <v>134</v>
      </c>
      <c r="H128" s="8"/>
    </row>
    <row r="129" ht="25" customHeight="1" spans="1:8">
      <c r="A129" s="6">
        <v>127</v>
      </c>
      <c r="B129" s="7" t="str">
        <f t="shared" si="16"/>
        <v>101</v>
      </c>
      <c r="C129" s="7" t="s">
        <v>8</v>
      </c>
      <c r="D129" s="7" t="s">
        <v>9</v>
      </c>
      <c r="E129" s="7" t="str">
        <f>"蔡晶"</f>
        <v>蔡晶</v>
      </c>
      <c r="F129" s="7" t="str">
        <f t="shared" si="28"/>
        <v>女</v>
      </c>
      <c r="G129" s="7" t="s">
        <v>135</v>
      </c>
      <c r="H129" s="8"/>
    </row>
    <row r="130" ht="25" customHeight="1" spans="1:8">
      <c r="A130" s="6">
        <v>128</v>
      </c>
      <c r="B130" s="7" t="str">
        <f t="shared" si="16"/>
        <v>101</v>
      </c>
      <c r="C130" s="7" t="s">
        <v>8</v>
      </c>
      <c r="D130" s="7" t="s">
        <v>9</v>
      </c>
      <c r="E130" s="7" t="str">
        <f>"陈硕"</f>
        <v>陈硕</v>
      </c>
      <c r="F130" s="7" t="str">
        <f t="shared" ref="F130:F133" si="29">"男"</f>
        <v>男</v>
      </c>
      <c r="G130" s="7" t="s">
        <v>136</v>
      </c>
      <c r="H130" s="8"/>
    </row>
    <row r="131" ht="25" customHeight="1" spans="1:8">
      <c r="A131" s="6">
        <v>129</v>
      </c>
      <c r="B131" s="7" t="str">
        <f t="shared" ref="B131:B194" si="30">"101"</f>
        <v>101</v>
      </c>
      <c r="C131" s="7" t="s">
        <v>8</v>
      </c>
      <c r="D131" s="7" t="s">
        <v>9</v>
      </c>
      <c r="E131" s="7" t="str">
        <f>"申须仁"</f>
        <v>申须仁</v>
      </c>
      <c r="F131" s="7" t="str">
        <f t="shared" si="29"/>
        <v>男</v>
      </c>
      <c r="G131" s="7" t="s">
        <v>137</v>
      </c>
      <c r="H131" s="8"/>
    </row>
    <row r="132" ht="25" customHeight="1" spans="1:8">
      <c r="A132" s="6">
        <v>130</v>
      </c>
      <c r="B132" s="7" t="str">
        <f t="shared" si="30"/>
        <v>101</v>
      </c>
      <c r="C132" s="7" t="s">
        <v>8</v>
      </c>
      <c r="D132" s="7" t="s">
        <v>9</v>
      </c>
      <c r="E132" s="7" t="str">
        <f>"孙悦凯"</f>
        <v>孙悦凯</v>
      </c>
      <c r="F132" s="7" t="str">
        <f t="shared" si="29"/>
        <v>男</v>
      </c>
      <c r="G132" s="7" t="s">
        <v>138</v>
      </c>
      <c r="H132" s="8"/>
    </row>
    <row r="133" ht="25" customHeight="1" spans="1:8">
      <c r="A133" s="6">
        <v>131</v>
      </c>
      <c r="B133" s="7" t="str">
        <f t="shared" si="30"/>
        <v>101</v>
      </c>
      <c r="C133" s="7" t="s">
        <v>8</v>
      </c>
      <c r="D133" s="7" t="s">
        <v>9</v>
      </c>
      <c r="E133" s="7" t="str">
        <f>"杨泽豪"</f>
        <v>杨泽豪</v>
      </c>
      <c r="F133" s="7" t="str">
        <f t="shared" si="29"/>
        <v>男</v>
      </c>
      <c r="G133" s="7" t="s">
        <v>139</v>
      </c>
      <c r="H133" s="8"/>
    </row>
    <row r="134" ht="25" customHeight="1" spans="1:8">
      <c r="A134" s="6">
        <v>132</v>
      </c>
      <c r="B134" s="7" t="str">
        <f t="shared" si="30"/>
        <v>101</v>
      </c>
      <c r="C134" s="7" t="s">
        <v>8</v>
      </c>
      <c r="D134" s="7" t="s">
        <v>9</v>
      </c>
      <c r="E134" s="7" t="str">
        <f>"王玉雪"</f>
        <v>王玉雪</v>
      </c>
      <c r="F134" s="7" t="str">
        <f t="shared" ref="F134:F139" si="31">"女"</f>
        <v>女</v>
      </c>
      <c r="G134" s="7" t="s">
        <v>140</v>
      </c>
      <c r="H134" s="8"/>
    </row>
    <row r="135" ht="25" customHeight="1" spans="1:8">
      <c r="A135" s="6">
        <v>133</v>
      </c>
      <c r="B135" s="7" t="str">
        <f t="shared" si="30"/>
        <v>101</v>
      </c>
      <c r="C135" s="7" t="s">
        <v>8</v>
      </c>
      <c r="D135" s="7" t="s">
        <v>9</v>
      </c>
      <c r="E135" s="7" t="str">
        <f>"瞿媛"</f>
        <v>瞿媛</v>
      </c>
      <c r="F135" s="7" t="str">
        <f t="shared" si="31"/>
        <v>女</v>
      </c>
      <c r="G135" s="7" t="s">
        <v>141</v>
      </c>
      <c r="H135" s="8"/>
    </row>
    <row r="136" ht="25" customHeight="1" spans="1:8">
      <c r="A136" s="6">
        <v>134</v>
      </c>
      <c r="B136" s="7" t="str">
        <f t="shared" si="30"/>
        <v>101</v>
      </c>
      <c r="C136" s="7" t="s">
        <v>8</v>
      </c>
      <c r="D136" s="7" t="s">
        <v>9</v>
      </c>
      <c r="E136" s="7" t="str">
        <f>"王维浓"</f>
        <v>王维浓</v>
      </c>
      <c r="F136" s="7" t="str">
        <f t="shared" ref="F136:F140" si="32">"男"</f>
        <v>男</v>
      </c>
      <c r="G136" s="7" t="s">
        <v>142</v>
      </c>
      <c r="H136" s="8"/>
    </row>
    <row r="137" ht="25" customHeight="1" spans="1:8">
      <c r="A137" s="6">
        <v>135</v>
      </c>
      <c r="B137" s="7" t="str">
        <f t="shared" si="30"/>
        <v>101</v>
      </c>
      <c r="C137" s="7" t="s">
        <v>8</v>
      </c>
      <c r="D137" s="7" t="s">
        <v>9</v>
      </c>
      <c r="E137" s="7" t="str">
        <f>"符臣锋"</f>
        <v>符臣锋</v>
      </c>
      <c r="F137" s="7" t="str">
        <f t="shared" si="32"/>
        <v>男</v>
      </c>
      <c r="G137" s="7" t="s">
        <v>143</v>
      </c>
      <c r="H137" s="8"/>
    </row>
    <row r="138" ht="25" customHeight="1" spans="1:8">
      <c r="A138" s="6">
        <v>136</v>
      </c>
      <c r="B138" s="7" t="str">
        <f t="shared" si="30"/>
        <v>101</v>
      </c>
      <c r="C138" s="7" t="s">
        <v>8</v>
      </c>
      <c r="D138" s="7" t="s">
        <v>9</v>
      </c>
      <c r="E138" s="7" t="str">
        <f>"王珂璇"</f>
        <v>王珂璇</v>
      </c>
      <c r="F138" s="7" t="str">
        <f t="shared" si="31"/>
        <v>女</v>
      </c>
      <c r="G138" s="7" t="s">
        <v>144</v>
      </c>
      <c r="H138" s="8"/>
    </row>
    <row r="139" ht="25" customHeight="1" spans="1:8">
      <c r="A139" s="6">
        <v>137</v>
      </c>
      <c r="B139" s="7" t="str">
        <f t="shared" si="30"/>
        <v>101</v>
      </c>
      <c r="C139" s="7" t="s">
        <v>8</v>
      </c>
      <c r="D139" s="7" t="s">
        <v>9</v>
      </c>
      <c r="E139" s="7" t="str">
        <f>"李冬梅"</f>
        <v>李冬梅</v>
      </c>
      <c r="F139" s="7" t="str">
        <f t="shared" si="31"/>
        <v>女</v>
      </c>
      <c r="G139" s="7" t="s">
        <v>145</v>
      </c>
      <c r="H139" s="8"/>
    </row>
    <row r="140" ht="25" customHeight="1" spans="1:8">
      <c r="A140" s="6">
        <v>138</v>
      </c>
      <c r="B140" s="7" t="str">
        <f t="shared" si="30"/>
        <v>101</v>
      </c>
      <c r="C140" s="7" t="s">
        <v>8</v>
      </c>
      <c r="D140" s="7" t="s">
        <v>9</v>
      </c>
      <c r="E140" s="7" t="str">
        <f>"李兴家"</f>
        <v>李兴家</v>
      </c>
      <c r="F140" s="7" t="str">
        <f t="shared" si="32"/>
        <v>男</v>
      </c>
      <c r="G140" s="7" t="s">
        <v>146</v>
      </c>
      <c r="H140" s="8"/>
    </row>
    <row r="141" ht="25" customHeight="1" spans="1:8">
      <c r="A141" s="6">
        <v>139</v>
      </c>
      <c r="B141" s="7" t="str">
        <f t="shared" si="30"/>
        <v>101</v>
      </c>
      <c r="C141" s="7" t="s">
        <v>8</v>
      </c>
      <c r="D141" s="7" t="s">
        <v>9</v>
      </c>
      <c r="E141" s="7" t="str">
        <f>"龙倩茹"</f>
        <v>龙倩茹</v>
      </c>
      <c r="F141" s="7" t="str">
        <f t="shared" ref="F141:F145" si="33">"女"</f>
        <v>女</v>
      </c>
      <c r="G141" s="7" t="s">
        <v>147</v>
      </c>
      <c r="H141" s="8"/>
    </row>
    <row r="142" ht="25" customHeight="1" spans="1:8">
      <c r="A142" s="6">
        <v>140</v>
      </c>
      <c r="B142" s="7" t="str">
        <f t="shared" si="30"/>
        <v>101</v>
      </c>
      <c r="C142" s="7" t="s">
        <v>8</v>
      </c>
      <c r="D142" s="7" t="s">
        <v>9</v>
      </c>
      <c r="E142" s="7" t="str">
        <f>"王晓芸"</f>
        <v>王晓芸</v>
      </c>
      <c r="F142" s="7" t="str">
        <f t="shared" si="33"/>
        <v>女</v>
      </c>
      <c r="G142" s="7" t="s">
        <v>148</v>
      </c>
      <c r="H142" s="8"/>
    </row>
    <row r="143" ht="25" customHeight="1" spans="1:8">
      <c r="A143" s="6">
        <v>141</v>
      </c>
      <c r="B143" s="7" t="str">
        <f t="shared" si="30"/>
        <v>101</v>
      </c>
      <c r="C143" s="7" t="s">
        <v>8</v>
      </c>
      <c r="D143" s="7" t="s">
        <v>9</v>
      </c>
      <c r="E143" s="7" t="str">
        <f>"陈伟民"</f>
        <v>陈伟民</v>
      </c>
      <c r="F143" s="7" t="str">
        <f>"男"</f>
        <v>男</v>
      </c>
      <c r="G143" s="7" t="s">
        <v>149</v>
      </c>
      <c r="H143" s="8"/>
    </row>
    <row r="144" ht="25" customHeight="1" spans="1:8">
      <c r="A144" s="6">
        <v>142</v>
      </c>
      <c r="B144" s="7" t="str">
        <f t="shared" si="30"/>
        <v>101</v>
      </c>
      <c r="C144" s="7" t="s">
        <v>8</v>
      </c>
      <c r="D144" s="7" t="s">
        <v>9</v>
      </c>
      <c r="E144" s="7" t="str">
        <f>"窦珮文"</f>
        <v>窦珮文</v>
      </c>
      <c r="F144" s="7" t="str">
        <f t="shared" si="33"/>
        <v>女</v>
      </c>
      <c r="G144" s="7" t="s">
        <v>150</v>
      </c>
      <c r="H144" s="8"/>
    </row>
    <row r="145" ht="25" customHeight="1" spans="1:8">
      <c r="A145" s="6">
        <v>143</v>
      </c>
      <c r="B145" s="7" t="str">
        <f t="shared" si="30"/>
        <v>101</v>
      </c>
      <c r="C145" s="7" t="s">
        <v>8</v>
      </c>
      <c r="D145" s="7" t="s">
        <v>9</v>
      </c>
      <c r="E145" s="7" t="str">
        <f>"王晓丹"</f>
        <v>王晓丹</v>
      </c>
      <c r="F145" s="7" t="str">
        <f t="shared" si="33"/>
        <v>女</v>
      </c>
      <c r="G145" s="7" t="s">
        <v>151</v>
      </c>
      <c r="H145" s="8"/>
    </row>
    <row r="146" ht="25" customHeight="1" spans="1:8">
      <c r="A146" s="6">
        <v>144</v>
      </c>
      <c r="B146" s="7" t="str">
        <f t="shared" si="30"/>
        <v>101</v>
      </c>
      <c r="C146" s="7" t="s">
        <v>8</v>
      </c>
      <c r="D146" s="7" t="s">
        <v>9</v>
      </c>
      <c r="E146" s="7" t="str">
        <f>"黄居仕"</f>
        <v>黄居仕</v>
      </c>
      <c r="F146" s="7" t="str">
        <f t="shared" ref="F146:F150" si="34">"男"</f>
        <v>男</v>
      </c>
      <c r="G146" s="7" t="s">
        <v>152</v>
      </c>
      <c r="H146" s="8"/>
    </row>
    <row r="147" ht="25" customHeight="1" spans="1:8">
      <c r="A147" s="6">
        <v>145</v>
      </c>
      <c r="B147" s="7" t="str">
        <f t="shared" si="30"/>
        <v>101</v>
      </c>
      <c r="C147" s="7" t="s">
        <v>8</v>
      </c>
      <c r="D147" s="7" t="s">
        <v>9</v>
      </c>
      <c r="E147" s="7" t="str">
        <f>"陈翁霞"</f>
        <v>陈翁霞</v>
      </c>
      <c r="F147" s="7" t="str">
        <f t="shared" ref="F147:F156" si="35">"女"</f>
        <v>女</v>
      </c>
      <c r="G147" s="7" t="s">
        <v>153</v>
      </c>
      <c r="H147" s="8"/>
    </row>
    <row r="148" ht="25" customHeight="1" spans="1:8">
      <c r="A148" s="6">
        <v>146</v>
      </c>
      <c r="B148" s="7" t="str">
        <f t="shared" si="30"/>
        <v>101</v>
      </c>
      <c r="C148" s="7" t="s">
        <v>8</v>
      </c>
      <c r="D148" s="7" t="s">
        <v>9</v>
      </c>
      <c r="E148" s="7" t="str">
        <f>"何小妹"</f>
        <v>何小妹</v>
      </c>
      <c r="F148" s="7" t="str">
        <f t="shared" si="35"/>
        <v>女</v>
      </c>
      <c r="G148" s="7" t="s">
        <v>154</v>
      </c>
      <c r="H148" s="8"/>
    </row>
    <row r="149" ht="25" customHeight="1" spans="1:8">
      <c r="A149" s="6">
        <v>147</v>
      </c>
      <c r="B149" s="7" t="str">
        <f t="shared" si="30"/>
        <v>101</v>
      </c>
      <c r="C149" s="7" t="s">
        <v>8</v>
      </c>
      <c r="D149" s="7" t="s">
        <v>9</v>
      </c>
      <c r="E149" s="7" t="str">
        <f>"黄延浦"</f>
        <v>黄延浦</v>
      </c>
      <c r="F149" s="7" t="str">
        <f t="shared" si="34"/>
        <v>男</v>
      </c>
      <c r="G149" s="7" t="s">
        <v>155</v>
      </c>
      <c r="H149" s="8"/>
    </row>
    <row r="150" ht="25" customHeight="1" spans="1:8">
      <c r="A150" s="6">
        <v>148</v>
      </c>
      <c r="B150" s="7" t="str">
        <f t="shared" si="30"/>
        <v>101</v>
      </c>
      <c r="C150" s="7" t="s">
        <v>8</v>
      </c>
      <c r="D150" s="7" t="s">
        <v>9</v>
      </c>
      <c r="E150" s="7" t="str">
        <f>"罗永发"</f>
        <v>罗永发</v>
      </c>
      <c r="F150" s="7" t="str">
        <f t="shared" si="34"/>
        <v>男</v>
      </c>
      <c r="G150" s="7" t="s">
        <v>156</v>
      </c>
      <c r="H150" s="8"/>
    </row>
    <row r="151" ht="25" customHeight="1" spans="1:8">
      <c r="A151" s="6">
        <v>149</v>
      </c>
      <c r="B151" s="7" t="str">
        <f t="shared" si="30"/>
        <v>101</v>
      </c>
      <c r="C151" s="7" t="s">
        <v>8</v>
      </c>
      <c r="D151" s="7" t="s">
        <v>9</v>
      </c>
      <c r="E151" s="7" t="str">
        <f>"赵开静"</f>
        <v>赵开静</v>
      </c>
      <c r="F151" s="7" t="str">
        <f t="shared" si="35"/>
        <v>女</v>
      </c>
      <c r="G151" s="7" t="s">
        <v>157</v>
      </c>
      <c r="H151" s="8"/>
    </row>
    <row r="152" ht="25" customHeight="1" spans="1:8">
      <c r="A152" s="6">
        <v>150</v>
      </c>
      <c r="B152" s="7" t="str">
        <f t="shared" si="30"/>
        <v>101</v>
      </c>
      <c r="C152" s="7" t="s">
        <v>8</v>
      </c>
      <c r="D152" s="7" t="s">
        <v>9</v>
      </c>
      <c r="E152" s="7" t="str">
        <f>"刘芳祯"</f>
        <v>刘芳祯</v>
      </c>
      <c r="F152" s="7" t="str">
        <f t="shared" si="35"/>
        <v>女</v>
      </c>
      <c r="G152" s="7" t="s">
        <v>158</v>
      </c>
      <c r="H152" s="8"/>
    </row>
    <row r="153" ht="25" customHeight="1" spans="1:8">
      <c r="A153" s="6">
        <v>151</v>
      </c>
      <c r="B153" s="7" t="str">
        <f t="shared" si="30"/>
        <v>101</v>
      </c>
      <c r="C153" s="7" t="s">
        <v>8</v>
      </c>
      <c r="D153" s="7" t="s">
        <v>9</v>
      </c>
      <c r="E153" s="7" t="str">
        <f>"周梦瑶"</f>
        <v>周梦瑶</v>
      </c>
      <c r="F153" s="7" t="str">
        <f t="shared" si="35"/>
        <v>女</v>
      </c>
      <c r="G153" s="7" t="s">
        <v>159</v>
      </c>
      <c r="H153" s="8"/>
    </row>
    <row r="154" ht="25" customHeight="1" spans="1:8">
      <c r="A154" s="6">
        <v>152</v>
      </c>
      <c r="B154" s="7" t="str">
        <f t="shared" si="30"/>
        <v>101</v>
      </c>
      <c r="C154" s="7" t="s">
        <v>8</v>
      </c>
      <c r="D154" s="7" t="s">
        <v>9</v>
      </c>
      <c r="E154" s="7" t="str">
        <f>"杨瑶"</f>
        <v>杨瑶</v>
      </c>
      <c r="F154" s="7" t="str">
        <f t="shared" si="35"/>
        <v>女</v>
      </c>
      <c r="G154" s="7" t="s">
        <v>160</v>
      </c>
      <c r="H154" s="8"/>
    </row>
    <row r="155" ht="25" customHeight="1" spans="1:8">
      <c r="A155" s="6">
        <v>153</v>
      </c>
      <c r="B155" s="7" t="str">
        <f t="shared" si="30"/>
        <v>101</v>
      </c>
      <c r="C155" s="7" t="s">
        <v>8</v>
      </c>
      <c r="D155" s="7" t="s">
        <v>9</v>
      </c>
      <c r="E155" s="7" t="str">
        <f>"刘雪芳"</f>
        <v>刘雪芳</v>
      </c>
      <c r="F155" s="7" t="str">
        <f t="shared" si="35"/>
        <v>女</v>
      </c>
      <c r="G155" s="7" t="s">
        <v>161</v>
      </c>
      <c r="H155" s="8"/>
    </row>
    <row r="156" ht="25" customHeight="1" spans="1:8">
      <c r="A156" s="6">
        <v>154</v>
      </c>
      <c r="B156" s="7" t="str">
        <f t="shared" si="30"/>
        <v>101</v>
      </c>
      <c r="C156" s="7" t="s">
        <v>8</v>
      </c>
      <c r="D156" s="7" t="s">
        <v>9</v>
      </c>
      <c r="E156" s="7" t="str">
        <f>"郑照龄"</f>
        <v>郑照龄</v>
      </c>
      <c r="F156" s="7" t="str">
        <f t="shared" si="35"/>
        <v>女</v>
      </c>
      <c r="G156" s="7" t="s">
        <v>162</v>
      </c>
      <c r="H156" s="8"/>
    </row>
    <row r="157" ht="25" customHeight="1" spans="1:8">
      <c r="A157" s="6">
        <v>155</v>
      </c>
      <c r="B157" s="7" t="str">
        <f t="shared" si="30"/>
        <v>101</v>
      </c>
      <c r="C157" s="7" t="s">
        <v>8</v>
      </c>
      <c r="D157" s="7" t="s">
        <v>9</v>
      </c>
      <c r="E157" s="7" t="str">
        <f>"朱贤龙"</f>
        <v>朱贤龙</v>
      </c>
      <c r="F157" s="7" t="str">
        <f>"男"</f>
        <v>男</v>
      </c>
      <c r="G157" s="7" t="s">
        <v>163</v>
      </c>
      <c r="H157" s="8"/>
    </row>
    <row r="158" ht="25" customHeight="1" spans="1:8">
      <c r="A158" s="6">
        <v>156</v>
      </c>
      <c r="B158" s="7" t="str">
        <f t="shared" si="30"/>
        <v>101</v>
      </c>
      <c r="C158" s="7" t="s">
        <v>8</v>
      </c>
      <c r="D158" s="7" t="s">
        <v>9</v>
      </c>
      <c r="E158" s="7" t="str">
        <f>"陈生武"</f>
        <v>陈生武</v>
      </c>
      <c r="F158" s="7" t="str">
        <f>"男"</f>
        <v>男</v>
      </c>
      <c r="G158" s="7" t="s">
        <v>164</v>
      </c>
      <c r="H158" s="8"/>
    </row>
    <row r="159" ht="25" customHeight="1" spans="1:8">
      <c r="A159" s="6">
        <v>157</v>
      </c>
      <c r="B159" s="7" t="str">
        <f t="shared" si="30"/>
        <v>101</v>
      </c>
      <c r="C159" s="7" t="s">
        <v>8</v>
      </c>
      <c r="D159" s="7" t="s">
        <v>9</v>
      </c>
      <c r="E159" s="7" t="str">
        <f>"黄思宇"</f>
        <v>黄思宇</v>
      </c>
      <c r="F159" s="7" t="str">
        <f t="shared" ref="F159:F166" si="36">"女"</f>
        <v>女</v>
      </c>
      <c r="G159" s="7" t="s">
        <v>165</v>
      </c>
      <c r="H159" s="8"/>
    </row>
    <row r="160" ht="25" customHeight="1" spans="1:8">
      <c r="A160" s="6">
        <v>158</v>
      </c>
      <c r="B160" s="7" t="str">
        <f t="shared" si="30"/>
        <v>101</v>
      </c>
      <c r="C160" s="7" t="s">
        <v>8</v>
      </c>
      <c r="D160" s="7" t="s">
        <v>9</v>
      </c>
      <c r="E160" s="7" t="str">
        <f>"张馨予"</f>
        <v>张馨予</v>
      </c>
      <c r="F160" s="7" t="str">
        <f t="shared" si="36"/>
        <v>女</v>
      </c>
      <c r="G160" s="7" t="s">
        <v>166</v>
      </c>
      <c r="H160" s="8"/>
    </row>
    <row r="161" ht="25" customHeight="1" spans="1:8">
      <c r="A161" s="6">
        <v>159</v>
      </c>
      <c r="B161" s="7" t="str">
        <f t="shared" si="30"/>
        <v>101</v>
      </c>
      <c r="C161" s="7" t="s">
        <v>8</v>
      </c>
      <c r="D161" s="7" t="s">
        <v>9</v>
      </c>
      <c r="E161" s="7" t="str">
        <f>" 陈梦敏"</f>
        <v> 陈梦敏</v>
      </c>
      <c r="F161" s="7" t="str">
        <f t="shared" si="36"/>
        <v>女</v>
      </c>
      <c r="G161" s="7" t="s">
        <v>167</v>
      </c>
      <c r="H161" s="8"/>
    </row>
    <row r="162" ht="25" customHeight="1" spans="1:8">
      <c r="A162" s="6">
        <v>160</v>
      </c>
      <c r="B162" s="7" t="str">
        <f t="shared" si="30"/>
        <v>101</v>
      </c>
      <c r="C162" s="7" t="s">
        <v>8</v>
      </c>
      <c r="D162" s="7" t="s">
        <v>9</v>
      </c>
      <c r="E162" s="7" t="str">
        <f>"吴娟"</f>
        <v>吴娟</v>
      </c>
      <c r="F162" s="7" t="str">
        <f t="shared" si="36"/>
        <v>女</v>
      </c>
      <c r="G162" s="7" t="s">
        <v>168</v>
      </c>
      <c r="H162" s="8"/>
    </row>
    <row r="163" ht="25" customHeight="1" spans="1:8">
      <c r="A163" s="6">
        <v>161</v>
      </c>
      <c r="B163" s="7" t="str">
        <f t="shared" si="30"/>
        <v>101</v>
      </c>
      <c r="C163" s="7" t="s">
        <v>8</v>
      </c>
      <c r="D163" s="7" t="s">
        <v>9</v>
      </c>
      <c r="E163" s="7" t="str">
        <f>"黄慧沁"</f>
        <v>黄慧沁</v>
      </c>
      <c r="F163" s="7" t="str">
        <f t="shared" si="36"/>
        <v>女</v>
      </c>
      <c r="G163" s="7" t="s">
        <v>169</v>
      </c>
      <c r="H163" s="8"/>
    </row>
    <row r="164" ht="25" customHeight="1" spans="1:8">
      <c r="A164" s="6">
        <v>162</v>
      </c>
      <c r="B164" s="7" t="str">
        <f t="shared" si="30"/>
        <v>101</v>
      </c>
      <c r="C164" s="7" t="s">
        <v>8</v>
      </c>
      <c r="D164" s="7" t="s">
        <v>9</v>
      </c>
      <c r="E164" s="7" t="str">
        <f>"黄小倩"</f>
        <v>黄小倩</v>
      </c>
      <c r="F164" s="7" t="str">
        <f t="shared" si="36"/>
        <v>女</v>
      </c>
      <c r="G164" s="7" t="s">
        <v>170</v>
      </c>
      <c r="H164" s="8"/>
    </row>
    <row r="165" ht="25" customHeight="1" spans="1:8">
      <c r="A165" s="6">
        <v>163</v>
      </c>
      <c r="B165" s="7" t="str">
        <f t="shared" si="30"/>
        <v>101</v>
      </c>
      <c r="C165" s="7" t="s">
        <v>8</v>
      </c>
      <c r="D165" s="7" t="s">
        <v>9</v>
      </c>
      <c r="E165" s="7" t="str">
        <f>"洪一丹"</f>
        <v>洪一丹</v>
      </c>
      <c r="F165" s="7" t="str">
        <f t="shared" si="36"/>
        <v>女</v>
      </c>
      <c r="G165" s="7" t="s">
        <v>171</v>
      </c>
      <c r="H165" s="8"/>
    </row>
    <row r="166" ht="25" customHeight="1" spans="1:8">
      <c r="A166" s="6">
        <v>164</v>
      </c>
      <c r="B166" s="7" t="str">
        <f t="shared" si="30"/>
        <v>101</v>
      </c>
      <c r="C166" s="7" t="s">
        <v>8</v>
      </c>
      <c r="D166" s="7" t="s">
        <v>9</v>
      </c>
      <c r="E166" s="7" t="str">
        <f>"梁振华"</f>
        <v>梁振华</v>
      </c>
      <c r="F166" s="7" t="str">
        <f t="shared" si="36"/>
        <v>女</v>
      </c>
      <c r="G166" s="7" t="s">
        <v>172</v>
      </c>
      <c r="H166" s="8"/>
    </row>
    <row r="167" ht="25" customHeight="1" spans="1:8">
      <c r="A167" s="6">
        <v>165</v>
      </c>
      <c r="B167" s="7" t="str">
        <f t="shared" si="30"/>
        <v>101</v>
      </c>
      <c r="C167" s="7" t="s">
        <v>8</v>
      </c>
      <c r="D167" s="7" t="s">
        <v>9</v>
      </c>
      <c r="E167" s="7" t="str">
        <f>"周才董"</f>
        <v>周才董</v>
      </c>
      <c r="F167" s="7" t="str">
        <f t="shared" ref="F167:F171" si="37">"男"</f>
        <v>男</v>
      </c>
      <c r="G167" s="7" t="s">
        <v>173</v>
      </c>
      <c r="H167" s="8"/>
    </row>
    <row r="168" ht="25" customHeight="1" spans="1:8">
      <c r="A168" s="6">
        <v>166</v>
      </c>
      <c r="B168" s="7" t="str">
        <f t="shared" si="30"/>
        <v>101</v>
      </c>
      <c r="C168" s="7" t="s">
        <v>8</v>
      </c>
      <c r="D168" s="7" t="s">
        <v>9</v>
      </c>
      <c r="E168" s="7" t="str">
        <f>"梁栌丹"</f>
        <v>梁栌丹</v>
      </c>
      <c r="F168" s="7" t="str">
        <f t="shared" ref="F168:F172" si="38">"女"</f>
        <v>女</v>
      </c>
      <c r="G168" s="7" t="s">
        <v>174</v>
      </c>
      <c r="H168" s="8"/>
    </row>
    <row r="169" ht="25" customHeight="1" spans="1:8">
      <c r="A169" s="6">
        <v>167</v>
      </c>
      <c r="B169" s="7" t="str">
        <f t="shared" si="30"/>
        <v>101</v>
      </c>
      <c r="C169" s="7" t="s">
        <v>8</v>
      </c>
      <c r="D169" s="7" t="s">
        <v>9</v>
      </c>
      <c r="E169" s="7" t="str">
        <f>"黄天勋"</f>
        <v>黄天勋</v>
      </c>
      <c r="F169" s="7" t="str">
        <f t="shared" si="37"/>
        <v>男</v>
      </c>
      <c r="G169" s="7" t="s">
        <v>175</v>
      </c>
      <c r="H169" s="8"/>
    </row>
    <row r="170" ht="25" customHeight="1" spans="1:8">
      <c r="A170" s="6">
        <v>168</v>
      </c>
      <c r="B170" s="7" t="str">
        <f t="shared" si="30"/>
        <v>101</v>
      </c>
      <c r="C170" s="7" t="s">
        <v>8</v>
      </c>
      <c r="D170" s="7" t="s">
        <v>9</v>
      </c>
      <c r="E170" s="7" t="str">
        <f>"黎俊琅"</f>
        <v>黎俊琅</v>
      </c>
      <c r="F170" s="7" t="str">
        <f t="shared" si="38"/>
        <v>女</v>
      </c>
      <c r="G170" s="7" t="s">
        <v>103</v>
      </c>
      <c r="H170" s="8"/>
    </row>
    <row r="171" ht="25" customHeight="1" spans="1:8">
      <c r="A171" s="6">
        <v>169</v>
      </c>
      <c r="B171" s="7" t="str">
        <f t="shared" si="30"/>
        <v>101</v>
      </c>
      <c r="C171" s="7" t="s">
        <v>8</v>
      </c>
      <c r="D171" s="7" t="s">
        <v>9</v>
      </c>
      <c r="E171" s="7" t="str">
        <f>"谭忠凯"</f>
        <v>谭忠凯</v>
      </c>
      <c r="F171" s="7" t="str">
        <f t="shared" si="37"/>
        <v>男</v>
      </c>
      <c r="G171" s="7" t="s">
        <v>176</v>
      </c>
      <c r="H171" s="8"/>
    </row>
    <row r="172" ht="25" customHeight="1" spans="1:8">
      <c r="A172" s="6">
        <v>170</v>
      </c>
      <c r="B172" s="7" t="str">
        <f t="shared" si="30"/>
        <v>101</v>
      </c>
      <c r="C172" s="7" t="s">
        <v>8</v>
      </c>
      <c r="D172" s="7" t="s">
        <v>9</v>
      </c>
      <c r="E172" s="7" t="str">
        <f>"高雪莲"</f>
        <v>高雪莲</v>
      </c>
      <c r="F172" s="7" t="str">
        <f t="shared" si="38"/>
        <v>女</v>
      </c>
      <c r="G172" s="7" t="s">
        <v>177</v>
      </c>
      <c r="H172" s="8"/>
    </row>
    <row r="173" ht="25" customHeight="1" spans="1:8">
      <c r="A173" s="6">
        <v>171</v>
      </c>
      <c r="B173" s="7" t="str">
        <f t="shared" si="30"/>
        <v>101</v>
      </c>
      <c r="C173" s="7" t="s">
        <v>8</v>
      </c>
      <c r="D173" s="7" t="s">
        <v>9</v>
      </c>
      <c r="E173" s="7" t="str">
        <f>"张先涛"</f>
        <v>张先涛</v>
      </c>
      <c r="F173" s="7" t="str">
        <f>"男"</f>
        <v>男</v>
      </c>
      <c r="G173" s="7" t="s">
        <v>178</v>
      </c>
      <c r="H173" s="8"/>
    </row>
    <row r="174" ht="25" customHeight="1" spans="1:8">
      <c r="A174" s="6">
        <v>172</v>
      </c>
      <c r="B174" s="7" t="str">
        <f t="shared" si="30"/>
        <v>101</v>
      </c>
      <c r="C174" s="7" t="s">
        <v>8</v>
      </c>
      <c r="D174" s="7" t="s">
        <v>9</v>
      </c>
      <c r="E174" s="7" t="str">
        <f>"刘仟禧"</f>
        <v>刘仟禧</v>
      </c>
      <c r="F174" s="7" t="str">
        <f t="shared" ref="F174:F179" si="39">"女"</f>
        <v>女</v>
      </c>
      <c r="G174" s="7" t="s">
        <v>179</v>
      </c>
      <c r="H174" s="8"/>
    </row>
    <row r="175" ht="25" customHeight="1" spans="1:8">
      <c r="A175" s="6">
        <v>173</v>
      </c>
      <c r="B175" s="7" t="str">
        <f t="shared" si="30"/>
        <v>101</v>
      </c>
      <c r="C175" s="7" t="s">
        <v>8</v>
      </c>
      <c r="D175" s="7" t="s">
        <v>9</v>
      </c>
      <c r="E175" s="7" t="str">
        <f>"蒲宏诗"</f>
        <v>蒲宏诗</v>
      </c>
      <c r="F175" s="7" t="str">
        <f t="shared" si="39"/>
        <v>女</v>
      </c>
      <c r="G175" s="7" t="s">
        <v>180</v>
      </c>
      <c r="H175" s="8"/>
    </row>
    <row r="176" ht="25" customHeight="1" spans="1:8">
      <c r="A176" s="6">
        <v>174</v>
      </c>
      <c r="B176" s="7" t="str">
        <f t="shared" si="30"/>
        <v>101</v>
      </c>
      <c r="C176" s="7" t="s">
        <v>8</v>
      </c>
      <c r="D176" s="7" t="s">
        <v>9</v>
      </c>
      <c r="E176" s="7" t="str">
        <f>"武凯丽"</f>
        <v>武凯丽</v>
      </c>
      <c r="F176" s="7" t="str">
        <f t="shared" si="39"/>
        <v>女</v>
      </c>
      <c r="G176" s="7" t="s">
        <v>181</v>
      </c>
      <c r="H176" s="8"/>
    </row>
    <row r="177" ht="25" customHeight="1" spans="1:8">
      <c r="A177" s="6">
        <v>175</v>
      </c>
      <c r="B177" s="7" t="str">
        <f t="shared" si="30"/>
        <v>101</v>
      </c>
      <c r="C177" s="7" t="s">
        <v>8</v>
      </c>
      <c r="D177" s="7" t="s">
        <v>9</v>
      </c>
      <c r="E177" s="7" t="str">
        <f>"张晓欣"</f>
        <v>张晓欣</v>
      </c>
      <c r="F177" s="7" t="str">
        <f t="shared" si="39"/>
        <v>女</v>
      </c>
      <c r="G177" s="7" t="s">
        <v>182</v>
      </c>
      <c r="H177" s="8"/>
    </row>
    <row r="178" ht="25" customHeight="1" spans="1:8">
      <c r="A178" s="6">
        <v>176</v>
      </c>
      <c r="B178" s="7" t="str">
        <f t="shared" si="30"/>
        <v>101</v>
      </c>
      <c r="C178" s="7" t="s">
        <v>8</v>
      </c>
      <c r="D178" s="7" t="s">
        <v>9</v>
      </c>
      <c r="E178" s="7" t="str">
        <f>"李爱基"</f>
        <v>李爱基</v>
      </c>
      <c r="F178" s="7" t="str">
        <f t="shared" si="39"/>
        <v>女</v>
      </c>
      <c r="G178" s="7" t="s">
        <v>183</v>
      </c>
      <c r="H178" s="8"/>
    </row>
    <row r="179" ht="25" customHeight="1" spans="1:8">
      <c r="A179" s="6">
        <v>177</v>
      </c>
      <c r="B179" s="7" t="str">
        <f t="shared" si="30"/>
        <v>101</v>
      </c>
      <c r="C179" s="7" t="s">
        <v>8</v>
      </c>
      <c r="D179" s="7" t="s">
        <v>9</v>
      </c>
      <c r="E179" s="7" t="str">
        <f>"姚婷婷"</f>
        <v>姚婷婷</v>
      </c>
      <c r="F179" s="7" t="str">
        <f t="shared" si="39"/>
        <v>女</v>
      </c>
      <c r="G179" s="7" t="s">
        <v>184</v>
      </c>
      <c r="H179" s="8"/>
    </row>
    <row r="180" ht="25" customHeight="1" spans="1:8">
      <c r="A180" s="6">
        <v>178</v>
      </c>
      <c r="B180" s="7" t="str">
        <f t="shared" si="30"/>
        <v>101</v>
      </c>
      <c r="C180" s="7" t="s">
        <v>8</v>
      </c>
      <c r="D180" s="7" t="s">
        <v>9</v>
      </c>
      <c r="E180" s="7" t="str">
        <f>"张书强"</f>
        <v>张书强</v>
      </c>
      <c r="F180" s="7" t="str">
        <f>"男"</f>
        <v>男</v>
      </c>
      <c r="G180" s="7" t="s">
        <v>185</v>
      </c>
      <c r="H180" s="8"/>
    </row>
    <row r="181" ht="25" customHeight="1" spans="1:8">
      <c r="A181" s="6">
        <v>179</v>
      </c>
      <c r="B181" s="7" t="str">
        <f t="shared" si="30"/>
        <v>101</v>
      </c>
      <c r="C181" s="7" t="s">
        <v>8</v>
      </c>
      <c r="D181" s="7" t="s">
        <v>9</v>
      </c>
      <c r="E181" s="7" t="str">
        <f>"李依亭"</f>
        <v>李依亭</v>
      </c>
      <c r="F181" s="7" t="str">
        <f t="shared" ref="F181:F186" si="40">"女"</f>
        <v>女</v>
      </c>
      <c r="G181" s="7" t="s">
        <v>186</v>
      </c>
      <c r="H181" s="8"/>
    </row>
    <row r="182" ht="25" customHeight="1" spans="1:8">
      <c r="A182" s="6">
        <v>180</v>
      </c>
      <c r="B182" s="7" t="str">
        <f t="shared" si="30"/>
        <v>101</v>
      </c>
      <c r="C182" s="7" t="s">
        <v>8</v>
      </c>
      <c r="D182" s="7" t="s">
        <v>9</v>
      </c>
      <c r="E182" s="7" t="str">
        <f>"刘巧"</f>
        <v>刘巧</v>
      </c>
      <c r="F182" s="7" t="str">
        <f t="shared" si="40"/>
        <v>女</v>
      </c>
      <c r="G182" s="7" t="s">
        <v>187</v>
      </c>
      <c r="H182" s="8"/>
    </row>
    <row r="183" ht="25" customHeight="1" spans="1:8">
      <c r="A183" s="6">
        <v>181</v>
      </c>
      <c r="B183" s="7" t="str">
        <f t="shared" si="30"/>
        <v>101</v>
      </c>
      <c r="C183" s="7" t="s">
        <v>8</v>
      </c>
      <c r="D183" s="7" t="s">
        <v>9</v>
      </c>
      <c r="E183" s="7" t="str">
        <f>"史燕雯"</f>
        <v>史燕雯</v>
      </c>
      <c r="F183" s="7" t="str">
        <f t="shared" si="40"/>
        <v>女</v>
      </c>
      <c r="G183" s="7" t="s">
        <v>188</v>
      </c>
      <c r="H183" s="8"/>
    </row>
    <row r="184" ht="25" customHeight="1" spans="1:8">
      <c r="A184" s="6">
        <v>182</v>
      </c>
      <c r="B184" s="7" t="str">
        <f t="shared" si="30"/>
        <v>101</v>
      </c>
      <c r="C184" s="7" t="s">
        <v>8</v>
      </c>
      <c r="D184" s="7" t="s">
        <v>9</v>
      </c>
      <c r="E184" s="7" t="str">
        <f>"杨如琴"</f>
        <v>杨如琴</v>
      </c>
      <c r="F184" s="7" t="str">
        <f t="shared" si="40"/>
        <v>女</v>
      </c>
      <c r="G184" s="7" t="s">
        <v>189</v>
      </c>
      <c r="H184" s="8"/>
    </row>
    <row r="185" ht="25" customHeight="1" spans="1:8">
      <c r="A185" s="6">
        <v>183</v>
      </c>
      <c r="B185" s="7" t="str">
        <f t="shared" si="30"/>
        <v>101</v>
      </c>
      <c r="C185" s="7" t="s">
        <v>8</v>
      </c>
      <c r="D185" s="7" t="s">
        <v>9</v>
      </c>
      <c r="E185" s="7" t="str">
        <f>"陈林林"</f>
        <v>陈林林</v>
      </c>
      <c r="F185" s="7" t="str">
        <f t="shared" si="40"/>
        <v>女</v>
      </c>
      <c r="G185" s="7" t="s">
        <v>190</v>
      </c>
      <c r="H185" s="8"/>
    </row>
    <row r="186" ht="25" customHeight="1" spans="1:8">
      <c r="A186" s="6">
        <v>184</v>
      </c>
      <c r="B186" s="7" t="str">
        <f t="shared" si="30"/>
        <v>101</v>
      </c>
      <c r="C186" s="7" t="s">
        <v>8</v>
      </c>
      <c r="D186" s="7" t="s">
        <v>9</v>
      </c>
      <c r="E186" s="7" t="str">
        <f>"吴乾应"</f>
        <v>吴乾应</v>
      </c>
      <c r="F186" s="7" t="str">
        <f t="shared" si="40"/>
        <v>女</v>
      </c>
      <c r="G186" s="7" t="s">
        <v>191</v>
      </c>
      <c r="H186" s="8"/>
    </row>
    <row r="187" ht="25" customHeight="1" spans="1:8">
      <c r="A187" s="6">
        <v>185</v>
      </c>
      <c r="B187" s="7" t="str">
        <f t="shared" si="30"/>
        <v>101</v>
      </c>
      <c r="C187" s="7" t="s">
        <v>8</v>
      </c>
      <c r="D187" s="7" t="s">
        <v>9</v>
      </c>
      <c r="E187" s="7" t="str">
        <f>"陈正汉"</f>
        <v>陈正汉</v>
      </c>
      <c r="F187" s="7" t="str">
        <f t="shared" ref="F187:F189" si="41">"男"</f>
        <v>男</v>
      </c>
      <c r="G187" s="7" t="s">
        <v>128</v>
      </c>
      <c r="H187" s="8"/>
    </row>
    <row r="188" ht="25" customHeight="1" spans="1:8">
      <c r="A188" s="6">
        <v>186</v>
      </c>
      <c r="B188" s="7" t="str">
        <f t="shared" si="30"/>
        <v>101</v>
      </c>
      <c r="C188" s="7" t="s">
        <v>8</v>
      </c>
      <c r="D188" s="7" t="s">
        <v>9</v>
      </c>
      <c r="E188" s="7" t="str">
        <f>"黄晖"</f>
        <v>黄晖</v>
      </c>
      <c r="F188" s="7" t="str">
        <f t="shared" si="41"/>
        <v>男</v>
      </c>
      <c r="G188" s="7" t="s">
        <v>192</v>
      </c>
      <c r="H188" s="8"/>
    </row>
    <row r="189" ht="25" customHeight="1" spans="1:8">
      <c r="A189" s="6">
        <v>187</v>
      </c>
      <c r="B189" s="7" t="str">
        <f t="shared" si="30"/>
        <v>101</v>
      </c>
      <c r="C189" s="7" t="s">
        <v>8</v>
      </c>
      <c r="D189" s="7" t="s">
        <v>9</v>
      </c>
      <c r="E189" s="7" t="str">
        <f>"陈东湖"</f>
        <v>陈东湖</v>
      </c>
      <c r="F189" s="7" t="str">
        <f t="shared" si="41"/>
        <v>男</v>
      </c>
      <c r="G189" s="7" t="s">
        <v>193</v>
      </c>
      <c r="H189" s="8"/>
    </row>
    <row r="190" ht="25" customHeight="1" spans="1:8">
      <c r="A190" s="6">
        <v>188</v>
      </c>
      <c r="B190" s="7" t="str">
        <f t="shared" si="30"/>
        <v>101</v>
      </c>
      <c r="C190" s="7" t="s">
        <v>8</v>
      </c>
      <c r="D190" s="7" t="s">
        <v>9</v>
      </c>
      <c r="E190" s="7" t="str">
        <f>"黄之敏"</f>
        <v>黄之敏</v>
      </c>
      <c r="F190" s="7" t="str">
        <f t="shared" ref="F190:F195" si="42">"女"</f>
        <v>女</v>
      </c>
      <c r="G190" s="7" t="s">
        <v>194</v>
      </c>
      <c r="H190" s="8"/>
    </row>
    <row r="191" ht="25" customHeight="1" spans="1:8">
      <c r="A191" s="6">
        <v>189</v>
      </c>
      <c r="B191" s="7" t="str">
        <f t="shared" si="30"/>
        <v>101</v>
      </c>
      <c r="C191" s="7" t="s">
        <v>8</v>
      </c>
      <c r="D191" s="7" t="s">
        <v>9</v>
      </c>
      <c r="E191" s="7" t="str">
        <f>"林叶欣"</f>
        <v>林叶欣</v>
      </c>
      <c r="F191" s="7" t="str">
        <f t="shared" si="42"/>
        <v>女</v>
      </c>
      <c r="G191" s="7" t="s">
        <v>195</v>
      </c>
      <c r="H191" s="8"/>
    </row>
    <row r="192" ht="25" customHeight="1" spans="1:8">
      <c r="A192" s="6">
        <v>190</v>
      </c>
      <c r="B192" s="7" t="str">
        <f t="shared" si="30"/>
        <v>101</v>
      </c>
      <c r="C192" s="7" t="s">
        <v>8</v>
      </c>
      <c r="D192" s="7" t="s">
        <v>9</v>
      </c>
      <c r="E192" s="7" t="str">
        <f>"何琼"</f>
        <v>何琼</v>
      </c>
      <c r="F192" s="7" t="str">
        <f t="shared" si="42"/>
        <v>女</v>
      </c>
      <c r="G192" s="7" t="s">
        <v>196</v>
      </c>
      <c r="H192" s="8"/>
    </row>
    <row r="193" ht="25" customHeight="1" spans="1:8">
      <c r="A193" s="6">
        <v>191</v>
      </c>
      <c r="B193" s="7" t="str">
        <f t="shared" si="30"/>
        <v>101</v>
      </c>
      <c r="C193" s="7" t="s">
        <v>8</v>
      </c>
      <c r="D193" s="7" t="s">
        <v>9</v>
      </c>
      <c r="E193" s="7" t="str">
        <f>"谭晨"</f>
        <v>谭晨</v>
      </c>
      <c r="F193" s="7" t="str">
        <f t="shared" si="42"/>
        <v>女</v>
      </c>
      <c r="G193" s="7" t="s">
        <v>141</v>
      </c>
      <c r="H193" s="8"/>
    </row>
    <row r="194" ht="25" customHeight="1" spans="1:8">
      <c r="A194" s="6">
        <v>192</v>
      </c>
      <c r="B194" s="7" t="str">
        <f t="shared" si="30"/>
        <v>101</v>
      </c>
      <c r="C194" s="7" t="s">
        <v>8</v>
      </c>
      <c r="D194" s="7" t="s">
        <v>9</v>
      </c>
      <c r="E194" s="7" t="str">
        <f>"高元汝"</f>
        <v>高元汝</v>
      </c>
      <c r="F194" s="7" t="str">
        <f t="shared" si="42"/>
        <v>女</v>
      </c>
      <c r="G194" s="7" t="s">
        <v>197</v>
      </c>
      <c r="H194" s="8"/>
    </row>
    <row r="195" ht="25" customHeight="1" spans="1:8">
      <c r="A195" s="6">
        <v>193</v>
      </c>
      <c r="B195" s="7" t="str">
        <f t="shared" ref="B195:B258" si="43">"101"</f>
        <v>101</v>
      </c>
      <c r="C195" s="7" t="s">
        <v>8</v>
      </c>
      <c r="D195" s="7" t="s">
        <v>9</v>
      </c>
      <c r="E195" s="7" t="str">
        <f>"董建民"</f>
        <v>董建民</v>
      </c>
      <c r="F195" s="7" t="str">
        <f t="shared" si="42"/>
        <v>女</v>
      </c>
      <c r="G195" s="7" t="s">
        <v>198</v>
      </c>
      <c r="H195" s="8"/>
    </row>
    <row r="196" ht="25" customHeight="1" spans="1:8">
      <c r="A196" s="6">
        <v>194</v>
      </c>
      <c r="B196" s="7" t="str">
        <f t="shared" si="43"/>
        <v>101</v>
      </c>
      <c r="C196" s="7" t="s">
        <v>8</v>
      </c>
      <c r="D196" s="7" t="s">
        <v>9</v>
      </c>
      <c r="E196" s="7" t="str">
        <f>"李有华"</f>
        <v>李有华</v>
      </c>
      <c r="F196" s="7" t="str">
        <f>"男"</f>
        <v>男</v>
      </c>
      <c r="G196" s="7" t="s">
        <v>199</v>
      </c>
      <c r="H196" s="8"/>
    </row>
    <row r="197" ht="25" customHeight="1" spans="1:8">
      <c r="A197" s="6">
        <v>195</v>
      </c>
      <c r="B197" s="7" t="str">
        <f t="shared" si="43"/>
        <v>101</v>
      </c>
      <c r="C197" s="7" t="s">
        <v>8</v>
      </c>
      <c r="D197" s="7" t="s">
        <v>9</v>
      </c>
      <c r="E197" s="7" t="str">
        <f>"林坛"</f>
        <v>林坛</v>
      </c>
      <c r="F197" s="7" t="str">
        <f t="shared" ref="F197:F204" si="44">"女"</f>
        <v>女</v>
      </c>
      <c r="G197" s="7" t="s">
        <v>200</v>
      </c>
      <c r="H197" s="8"/>
    </row>
    <row r="198" ht="25" customHeight="1" spans="1:8">
      <c r="A198" s="6">
        <v>196</v>
      </c>
      <c r="B198" s="7" t="str">
        <f t="shared" si="43"/>
        <v>101</v>
      </c>
      <c r="C198" s="7" t="s">
        <v>8</v>
      </c>
      <c r="D198" s="7" t="s">
        <v>9</v>
      </c>
      <c r="E198" s="7" t="str">
        <f>"何凌"</f>
        <v>何凌</v>
      </c>
      <c r="F198" s="7" t="str">
        <f t="shared" si="44"/>
        <v>女</v>
      </c>
      <c r="G198" s="7" t="s">
        <v>201</v>
      </c>
      <c r="H198" s="8"/>
    </row>
    <row r="199" ht="25" customHeight="1" spans="1:8">
      <c r="A199" s="6">
        <v>197</v>
      </c>
      <c r="B199" s="7" t="str">
        <f t="shared" si="43"/>
        <v>101</v>
      </c>
      <c r="C199" s="7" t="s">
        <v>8</v>
      </c>
      <c r="D199" s="7" t="s">
        <v>9</v>
      </c>
      <c r="E199" s="7" t="str">
        <f>"郑铭琦"</f>
        <v>郑铭琦</v>
      </c>
      <c r="F199" s="7" t="str">
        <f t="shared" si="44"/>
        <v>女</v>
      </c>
      <c r="G199" s="7" t="s">
        <v>202</v>
      </c>
      <c r="H199" s="8"/>
    </row>
    <row r="200" ht="25" customHeight="1" spans="1:8">
      <c r="A200" s="6">
        <v>198</v>
      </c>
      <c r="B200" s="7" t="str">
        <f t="shared" si="43"/>
        <v>101</v>
      </c>
      <c r="C200" s="7" t="s">
        <v>8</v>
      </c>
      <c r="D200" s="7" t="s">
        <v>9</v>
      </c>
      <c r="E200" s="7" t="str">
        <f>"麦曾菊"</f>
        <v>麦曾菊</v>
      </c>
      <c r="F200" s="7" t="str">
        <f t="shared" si="44"/>
        <v>女</v>
      </c>
      <c r="G200" s="7" t="s">
        <v>203</v>
      </c>
      <c r="H200" s="8"/>
    </row>
    <row r="201" ht="25" customHeight="1" spans="1:8">
      <c r="A201" s="6">
        <v>199</v>
      </c>
      <c r="B201" s="7" t="str">
        <f t="shared" si="43"/>
        <v>101</v>
      </c>
      <c r="C201" s="7" t="s">
        <v>8</v>
      </c>
      <c r="D201" s="7" t="s">
        <v>9</v>
      </c>
      <c r="E201" s="7" t="str">
        <f>"孙弋珺"</f>
        <v>孙弋珺</v>
      </c>
      <c r="F201" s="7" t="str">
        <f t="shared" si="44"/>
        <v>女</v>
      </c>
      <c r="G201" s="7" t="s">
        <v>204</v>
      </c>
      <c r="H201" s="8"/>
    </row>
    <row r="202" ht="25" customHeight="1" spans="1:8">
      <c r="A202" s="6">
        <v>200</v>
      </c>
      <c r="B202" s="7" t="str">
        <f t="shared" si="43"/>
        <v>101</v>
      </c>
      <c r="C202" s="7" t="s">
        <v>8</v>
      </c>
      <c r="D202" s="7" t="s">
        <v>9</v>
      </c>
      <c r="E202" s="7" t="str">
        <f>"刘春阳"</f>
        <v>刘春阳</v>
      </c>
      <c r="F202" s="7" t="str">
        <f t="shared" si="44"/>
        <v>女</v>
      </c>
      <c r="G202" s="7" t="s">
        <v>205</v>
      </c>
      <c r="H202" s="8"/>
    </row>
    <row r="203" ht="25" customHeight="1" spans="1:8">
      <c r="A203" s="6">
        <v>201</v>
      </c>
      <c r="B203" s="7" t="str">
        <f t="shared" si="43"/>
        <v>101</v>
      </c>
      <c r="C203" s="7" t="s">
        <v>8</v>
      </c>
      <c r="D203" s="7" t="s">
        <v>9</v>
      </c>
      <c r="E203" s="7" t="str">
        <f>"胡桃香"</f>
        <v>胡桃香</v>
      </c>
      <c r="F203" s="7" t="str">
        <f t="shared" si="44"/>
        <v>女</v>
      </c>
      <c r="G203" s="7" t="s">
        <v>206</v>
      </c>
      <c r="H203" s="8"/>
    </row>
    <row r="204" ht="25" customHeight="1" spans="1:8">
      <c r="A204" s="6">
        <v>202</v>
      </c>
      <c r="B204" s="7" t="str">
        <f t="shared" si="43"/>
        <v>101</v>
      </c>
      <c r="C204" s="7" t="s">
        <v>8</v>
      </c>
      <c r="D204" s="7" t="s">
        <v>9</v>
      </c>
      <c r="E204" s="7" t="str">
        <f>"杨惠琳"</f>
        <v>杨惠琳</v>
      </c>
      <c r="F204" s="7" t="str">
        <f t="shared" si="44"/>
        <v>女</v>
      </c>
      <c r="G204" s="7" t="s">
        <v>207</v>
      </c>
      <c r="H204" s="8"/>
    </row>
    <row r="205" ht="25" customHeight="1" spans="1:8">
      <c r="A205" s="6">
        <v>203</v>
      </c>
      <c r="B205" s="7" t="str">
        <f t="shared" si="43"/>
        <v>101</v>
      </c>
      <c r="C205" s="7" t="s">
        <v>8</v>
      </c>
      <c r="D205" s="7" t="s">
        <v>9</v>
      </c>
      <c r="E205" s="7" t="str">
        <f>"仪光宇"</f>
        <v>仪光宇</v>
      </c>
      <c r="F205" s="7" t="str">
        <f t="shared" ref="F205:F210" si="45">"男"</f>
        <v>男</v>
      </c>
      <c r="G205" s="7" t="s">
        <v>208</v>
      </c>
      <c r="H205" s="8"/>
    </row>
    <row r="206" ht="25" customHeight="1" spans="1:8">
      <c r="A206" s="6">
        <v>204</v>
      </c>
      <c r="B206" s="7" t="str">
        <f t="shared" si="43"/>
        <v>101</v>
      </c>
      <c r="C206" s="7" t="s">
        <v>8</v>
      </c>
      <c r="D206" s="7" t="s">
        <v>9</v>
      </c>
      <c r="E206" s="7" t="str">
        <f>"杨祥玲"</f>
        <v>杨祥玲</v>
      </c>
      <c r="F206" s="7" t="str">
        <f t="shared" ref="F206:F209" si="46">"女"</f>
        <v>女</v>
      </c>
      <c r="G206" s="7" t="s">
        <v>209</v>
      </c>
      <c r="H206" s="8"/>
    </row>
    <row r="207" ht="25" customHeight="1" spans="1:8">
      <c r="A207" s="6">
        <v>205</v>
      </c>
      <c r="B207" s="7" t="str">
        <f t="shared" si="43"/>
        <v>101</v>
      </c>
      <c r="C207" s="7" t="s">
        <v>8</v>
      </c>
      <c r="D207" s="7" t="s">
        <v>9</v>
      </c>
      <c r="E207" s="7" t="str">
        <f>"黄思红"</f>
        <v>黄思红</v>
      </c>
      <c r="F207" s="7" t="str">
        <f t="shared" si="46"/>
        <v>女</v>
      </c>
      <c r="G207" s="7" t="s">
        <v>210</v>
      </c>
      <c r="H207" s="8"/>
    </row>
    <row r="208" ht="25" customHeight="1" spans="1:8">
      <c r="A208" s="6">
        <v>206</v>
      </c>
      <c r="B208" s="7" t="str">
        <f t="shared" si="43"/>
        <v>101</v>
      </c>
      <c r="C208" s="7" t="s">
        <v>8</v>
      </c>
      <c r="D208" s="7" t="s">
        <v>9</v>
      </c>
      <c r="E208" s="7" t="str">
        <f>"刘宇鸿"</f>
        <v>刘宇鸿</v>
      </c>
      <c r="F208" s="7" t="str">
        <f t="shared" si="45"/>
        <v>男</v>
      </c>
      <c r="G208" s="7" t="s">
        <v>211</v>
      </c>
      <c r="H208" s="8"/>
    </row>
    <row r="209" ht="25" customHeight="1" spans="1:8">
      <c r="A209" s="6">
        <v>207</v>
      </c>
      <c r="B209" s="7" t="str">
        <f t="shared" si="43"/>
        <v>101</v>
      </c>
      <c r="C209" s="7" t="s">
        <v>8</v>
      </c>
      <c r="D209" s="7" t="s">
        <v>9</v>
      </c>
      <c r="E209" s="7" t="str">
        <f>"韩靖滢"</f>
        <v>韩靖滢</v>
      </c>
      <c r="F209" s="7" t="str">
        <f t="shared" si="46"/>
        <v>女</v>
      </c>
      <c r="G209" s="7" t="s">
        <v>212</v>
      </c>
      <c r="H209" s="8"/>
    </row>
    <row r="210" ht="25" customHeight="1" spans="1:8">
      <c r="A210" s="6">
        <v>208</v>
      </c>
      <c r="B210" s="7" t="str">
        <f t="shared" si="43"/>
        <v>101</v>
      </c>
      <c r="C210" s="7" t="s">
        <v>8</v>
      </c>
      <c r="D210" s="7" t="s">
        <v>9</v>
      </c>
      <c r="E210" s="7" t="str">
        <f>"符芳义"</f>
        <v>符芳义</v>
      </c>
      <c r="F210" s="7" t="str">
        <f t="shared" si="45"/>
        <v>男</v>
      </c>
      <c r="G210" s="7" t="s">
        <v>213</v>
      </c>
      <c r="H210" s="8"/>
    </row>
    <row r="211" ht="25" customHeight="1" spans="1:8">
      <c r="A211" s="6">
        <v>209</v>
      </c>
      <c r="B211" s="7" t="str">
        <f t="shared" si="43"/>
        <v>101</v>
      </c>
      <c r="C211" s="7" t="s">
        <v>8</v>
      </c>
      <c r="D211" s="7" t="s">
        <v>9</v>
      </c>
      <c r="E211" s="7" t="str">
        <f>"钱志娇"</f>
        <v>钱志娇</v>
      </c>
      <c r="F211" s="7" t="str">
        <f t="shared" ref="F211:F215" si="47">"女"</f>
        <v>女</v>
      </c>
      <c r="G211" s="7" t="s">
        <v>214</v>
      </c>
      <c r="H211" s="8"/>
    </row>
    <row r="212" ht="25" customHeight="1" spans="1:8">
      <c r="A212" s="6">
        <v>210</v>
      </c>
      <c r="B212" s="7" t="str">
        <f t="shared" si="43"/>
        <v>101</v>
      </c>
      <c r="C212" s="7" t="s">
        <v>8</v>
      </c>
      <c r="D212" s="7" t="s">
        <v>9</v>
      </c>
      <c r="E212" s="7" t="str">
        <f>"王艺璇"</f>
        <v>王艺璇</v>
      </c>
      <c r="F212" s="7" t="str">
        <f t="shared" si="47"/>
        <v>女</v>
      </c>
      <c r="G212" s="7" t="s">
        <v>215</v>
      </c>
      <c r="H212" s="8"/>
    </row>
    <row r="213" ht="25" customHeight="1" spans="1:8">
      <c r="A213" s="6">
        <v>211</v>
      </c>
      <c r="B213" s="7" t="str">
        <f t="shared" si="43"/>
        <v>101</v>
      </c>
      <c r="C213" s="7" t="s">
        <v>8</v>
      </c>
      <c r="D213" s="7" t="s">
        <v>9</v>
      </c>
      <c r="E213" s="7" t="str">
        <f>"李冬珏"</f>
        <v>李冬珏</v>
      </c>
      <c r="F213" s="7" t="str">
        <f t="shared" si="47"/>
        <v>女</v>
      </c>
      <c r="G213" s="7" t="s">
        <v>216</v>
      </c>
      <c r="H213" s="8"/>
    </row>
    <row r="214" ht="25" customHeight="1" spans="1:8">
      <c r="A214" s="6">
        <v>212</v>
      </c>
      <c r="B214" s="7" t="str">
        <f t="shared" si="43"/>
        <v>101</v>
      </c>
      <c r="C214" s="7" t="s">
        <v>8</v>
      </c>
      <c r="D214" s="7" t="s">
        <v>9</v>
      </c>
      <c r="E214" s="7" t="str">
        <f>"杨婧"</f>
        <v>杨婧</v>
      </c>
      <c r="F214" s="7" t="str">
        <f t="shared" si="47"/>
        <v>女</v>
      </c>
      <c r="G214" s="7" t="s">
        <v>217</v>
      </c>
      <c r="H214" s="8"/>
    </row>
    <row r="215" ht="25" customHeight="1" spans="1:8">
      <c r="A215" s="6">
        <v>213</v>
      </c>
      <c r="B215" s="7" t="str">
        <f t="shared" si="43"/>
        <v>101</v>
      </c>
      <c r="C215" s="7" t="s">
        <v>8</v>
      </c>
      <c r="D215" s="7" t="s">
        <v>9</v>
      </c>
      <c r="E215" s="7" t="str">
        <f>"张月娜"</f>
        <v>张月娜</v>
      </c>
      <c r="F215" s="7" t="str">
        <f t="shared" si="47"/>
        <v>女</v>
      </c>
      <c r="G215" s="7" t="s">
        <v>218</v>
      </c>
      <c r="H215" s="8"/>
    </row>
    <row r="216" ht="25" customHeight="1" spans="1:8">
      <c r="A216" s="6">
        <v>214</v>
      </c>
      <c r="B216" s="7" t="str">
        <f t="shared" si="43"/>
        <v>101</v>
      </c>
      <c r="C216" s="7" t="s">
        <v>8</v>
      </c>
      <c r="D216" s="7" t="s">
        <v>9</v>
      </c>
      <c r="E216" s="7" t="str">
        <f>"张坦"</f>
        <v>张坦</v>
      </c>
      <c r="F216" s="7" t="str">
        <f t="shared" ref="F216:F222" si="48">"男"</f>
        <v>男</v>
      </c>
      <c r="G216" s="7" t="s">
        <v>219</v>
      </c>
      <c r="H216" s="8"/>
    </row>
    <row r="217" ht="25" customHeight="1" spans="1:8">
      <c r="A217" s="6">
        <v>215</v>
      </c>
      <c r="B217" s="7" t="str">
        <f t="shared" si="43"/>
        <v>101</v>
      </c>
      <c r="C217" s="7" t="s">
        <v>8</v>
      </c>
      <c r="D217" s="7" t="s">
        <v>9</v>
      </c>
      <c r="E217" s="7" t="str">
        <f>"李孟娜"</f>
        <v>李孟娜</v>
      </c>
      <c r="F217" s="7" t="str">
        <f>"女"</f>
        <v>女</v>
      </c>
      <c r="G217" s="7" t="s">
        <v>220</v>
      </c>
      <c r="H217" s="8"/>
    </row>
    <row r="218" ht="25" customHeight="1" spans="1:8">
      <c r="A218" s="6">
        <v>216</v>
      </c>
      <c r="B218" s="7" t="str">
        <f t="shared" si="43"/>
        <v>101</v>
      </c>
      <c r="C218" s="7" t="s">
        <v>8</v>
      </c>
      <c r="D218" s="7" t="s">
        <v>9</v>
      </c>
      <c r="E218" s="7" t="str">
        <f>"王国宇"</f>
        <v>王国宇</v>
      </c>
      <c r="F218" s="7" t="str">
        <f t="shared" si="48"/>
        <v>男</v>
      </c>
      <c r="G218" s="7" t="s">
        <v>221</v>
      </c>
      <c r="H218" s="8"/>
    </row>
    <row r="219" ht="25" customHeight="1" spans="1:8">
      <c r="A219" s="6">
        <v>217</v>
      </c>
      <c r="B219" s="7" t="str">
        <f t="shared" si="43"/>
        <v>101</v>
      </c>
      <c r="C219" s="7" t="s">
        <v>8</v>
      </c>
      <c r="D219" s="7" t="s">
        <v>9</v>
      </c>
      <c r="E219" s="7" t="str">
        <f>"黄道隆"</f>
        <v>黄道隆</v>
      </c>
      <c r="F219" s="7" t="str">
        <f t="shared" si="48"/>
        <v>男</v>
      </c>
      <c r="G219" s="7" t="s">
        <v>222</v>
      </c>
      <c r="H219" s="8"/>
    </row>
    <row r="220" ht="25" customHeight="1" spans="1:8">
      <c r="A220" s="6">
        <v>218</v>
      </c>
      <c r="B220" s="7" t="str">
        <f t="shared" si="43"/>
        <v>101</v>
      </c>
      <c r="C220" s="7" t="s">
        <v>8</v>
      </c>
      <c r="D220" s="7" t="s">
        <v>9</v>
      </c>
      <c r="E220" s="7" t="str">
        <f>"吴明雄"</f>
        <v>吴明雄</v>
      </c>
      <c r="F220" s="7" t="str">
        <f t="shared" si="48"/>
        <v>男</v>
      </c>
      <c r="G220" s="7" t="s">
        <v>223</v>
      </c>
      <c r="H220" s="8"/>
    </row>
    <row r="221" ht="25" customHeight="1" spans="1:8">
      <c r="A221" s="6">
        <v>219</v>
      </c>
      <c r="B221" s="7" t="str">
        <f t="shared" si="43"/>
        <v>101</v>
      </c>
      <c r="C221" s="7" t="s">
        <v>8</v>
      </c>
      <c r="D221" s="7" t="s">
        <v>9</v>
      </c>
      <c r="E221" s="7" t="str">
        <f>"孙贝"</f>
        <v>孙贝</v>
      </c>
      <c r="F221" s="7" t="str">
        <f t="shared" si="48"/>
        <v>男</v>
      </c>
      <c r="G221" s="7" t="s">
        <v>224</v>
      </c>
      <c r="H221" s="8"/>
    </row>
    <row r="222" ht="25" customHeight="1" spans="1:8">
      <c r="A222" s="6">
        <v>220</v>
      </c>
      <c r="B222" s="7" t="str">
        <f t="shared" si="43"/>
        <v>101</v>
      </c>
      <c r="C222" s="7" t="s">
        <v>8</v>
      </c>
      <c r="D222" s="7" t="s">
        <v>9</v>
      </c>
      <c r="E222" s="7" t="str">
        <f>"吴天涯"</f>
        <v>吴天涯</v>
      </c>
      <c r="F222" s="7" t="str">
        <f t="shared" si="48"/>
        <v>男</v>
      </c>
      <c r="G222" s="7" t="s">
        <v>225</v>
      </c>
      <c r="H222" s="8"/>
    </row>
    <row r="223" ht="25" customHeight="1" spans="1:8">
      <c r="A223" s="6">
        <v>221</v>
      </c>
      <c r="B223" s="7" t="str">
        <f t="shared" si="43"/>
        <v>101</v>
      </c>
      <c r="C223" s="7" t="s">
        <v>8</v>
      </c>
      <c r="D223" s="7" t="s">
        <v>9</v>
      </c>
      <c r="E223" s="7" t="str">
        <f>"刘宗丽"</f>
        <v>刘宗丽</v>
      </c>
      <c r="F223" s="7" t="str">
        <f t="shared" ref="F223:F229" si="49">"女"</f>
        <v>女</v>
      </c>
      <c r="G223" s="7" t="s">
        <v>226</v>
      </c>
      <c r="H223" s="8"/>
    </row>
    <row r="224" ht="25" customHeight="1" spans="1:8">
      <c r="A224" s="6">
        <v>222</v>
      </c>
      <c r="B224" s="7" t="str">
        <f t="shared" si="43"/>
        <v>101</v>
      </c>
      <c r="C224" s="7" t="s">
        <v>8</v>
      </c>
      <c r="D224" s="7" t="s">
        <v>9</v>
      </c>
      <c r="E224" s="7" t="str">
        <f>"柴欢"</f>
        <v>柴欢</v>
      </c>
      <c r="F224" s="7" t="str">
        <f t="shared" si="49"/>
        <v>女</v>
      </c>
      <c r="G224" s="7" t="s">
        <v>227</v>
      </c>
      <c r="H224" s="8"/>
    </row>
    <row r="225" ht="25" customHeight="1" spans="1:8">
      <c r="A225" s="6">
        <v>223</v>
      </c>
      <c r="B225" s="7" t="str">
        <f t="shared" si="43"/>
        <v>101</v>
      </c>
      <c r="C225" s="7" t="s">
        <v>8</v>
      </c>
      <c r="D225" s="7" t="s">
        <v>9</v>
      </c>
      <c r="E225" s="7" t="str">
        <f>"鲍钰"</f>
        <v>鲍钰</v>
      </c>
      <c r="F225" s="7" t="str">
        <f>"男"</f>
        <v>男</v>
      </c>
      <c r="G225" s="7" t="s">
        <v>228</v>
      </c>
      <c r="H225" s="8"/>
    </row>
    <row r="226" ht="25" customHeight="1" spans="1:8">
      <c r="A226" s="6">
        <v>224</v>
      </c>
      <c r="B226" s="7" t="str">
        <f t="shared" si="43"/>
        <v>101</v>
      </c>
      <c r="C226" s="7" t="s">
        <v>8</v>
      </c>
      <c r="D226" s="7" t="s">
        <v>9</v>
      </c>
      <c r="E226" s="7" t="str">
        <f>"王娇蕊"</f>
        <v>王娇蕊</v>
      </c>
      <c r="F226" s="7" t="str">
        <f t="shared" si="49"/>
        <v>女</v>
      </c>
      <c r="G226" s="7" t="s">
        <v>229</v>
      </c>
      <c r="H226" s="8"/>
    </row>
    <row r="227" ht="25" customHeight="1" spans="1:8">
      <c r="A227" s="6">
        <v>225</v>
      </c>
      <c r="B227" s="7" t="str">
        <f t="shared" si="43"/>
        <v>101</v>
      </c>
      <c r="C227" s="7" t="s">
        <v>8</v>
      </c>
      <c r="D227" s="7" t="s">
        <v>9</v>
      </c>
      <c r="E227" s="7" t="str">
        <f>"林明丽"</f>
        <v>林明丽</v>
      </c>
      <c r="F227" s="7" t="str">
        <f t="shared" si="49"/>
        <v>女</v>
      </c>
      <c r="G227" s="7" t="s">
        <v>230</v>
      </c>
      <c r="H227" s="8"/>
    </row>
    <row r="228" ht="25" customHeight="1" spans="1:8">
      <c r="A228" s="6">
        <v>226</v>
      </c>
      <c r="B228" s="7" t="str">
        <f t="shared" si="43"/>
        <v>101</v>
      </c>
      <c r="C228" s="7" t="s">
        <v>8</v>
      </c>
      <c r="D228" s="7" t="s">
        <v>9</v>
      </c>
      <c r="E228" s="7" t="str">
        <f>"文苏慧"</f>
        <v>文苏慧</v>
      </c>
      <c r="F228" s="7" t="str">
        <f t="shared" si="49"/>
        <v>女</v>
      </c>
      <c r="G228" s="7" t="s">
        <v>231</v>
      </c>
      <c r="H228" s="8"/>
    </row>
    <row r="229" ht="25" customHeight="1" spans="1:8">
      <c r="A229" s="6">
        <v>227</v>
      </c>
      <c r="B229" s="7" t="str">
        <f t="shared" si="43"/>
        <v>101</v>
      </c>
      <c r="C229" s="7" t="s">
        <v>8</v>
      </c>
      <c r="D229" s="7" t="s">
        <v>9</v>
      </c>
      <c r="E229" s="7" t="str">
        <f>"罗程悦"</f>
        <v>罗程悦</v>
      </c>
      <c r="F229" s="7" t="str">
        <f t="shared" si="49"/>
        <v>女</v>
      </c>
      <c r="G229" s="7" t="s">
        <v>232</v>
      </c>
      <c r="H229" s="8"/>
    </row>
    <row r="230" ht="25" customHeight="1" spans="1:8">
      <c r="A230" s="6">
        <v>228</v>
      </c>
      <c r="B230" s="7" t="str">
        <f t="shared" si="43"/>
        <v>101</v>
      </c>
      <c r="C230" s="7" t="s">
        <v>8</v>
      </c>
      <c r="D230" s="7" t="s">
        <v>9</v>
      </c>
      <c r="E230" s="7" t="str">
        <f>"王槐安"</f>
        <v>王槐安</v>
      </c>
      <c r="F230" s="7" t="str">
        <f t="shared" ref="F230:F234" si="50">"男"</f>
        <v>男</v>
      </c>
      <c r="G230" s="7" t="s">
        <v>233</v>
      </c>
      <c r="H230" s="8"/>
    </row>
    <row r="231" ht="25" customHeight="1" spans="1:8">
      <c r="A231" s="6">
        <v>229</v>
      </c>
      <c r="B231" s="7" t="str">
        <f t="shared" si="43"/>
        <v>101</v>
      </c>
      <c r="C231" s="7" t="s">
        <v>8</v>
      </c>
      <c r="D231" s="7" t="s">
        <v>9</v>
      </c>
      <c r="E231" s="7" t="str">
        <f>"屠梓轩"</f>
        <v>屠梓轩</v>
      </c>
      <c r="F231" s="7" t="str">
        <f t="shared" ref="F231:F235" si="51">"女"</f>
        <v>女</v>
      </c>
      <c r="G231" s="7" t="s">
        <v>234</v>
      </c>
      <c r="H231" s="8"/>
    </row>
    <row r="232" ht="25" customHeight="1" spans="1:8">
      <c r="A232" s="6">
        <v>230</v>
      </c>
      <c r="B232" s="7" t="str">
        <f t="shared" si="43"/>
        <v>101</v>
      </c>
      <c r="C232" s="7" t="s">
        <v>8</v>
      </c>
      <c r="D232" s="7" t="s">
        <v>9</v>
      </c>
      <c r="E232" s="7" t="str">
        <f>"马鑫"</f>
        <v>马鑫</v>
      </c>
      <c r="F232" s="7" t="str">
        <f t="shared" si="51"/>
        <v>女</v>
      </c>
      <c r="G232" s="7" t="s">
        <v>235</v>
      </c>
      <c r="H232" s="8"/>
    </row>
    <row r="233" ht="25" customHeight="1" spans="1:8">
      <c r="A233" s="6">
        <v>231</v>
      </c>
      <c r="B233" s="7" t="str">
        <f t="shared" si="43"/>
        <v>101</v>
      </c>
      <c r="C233" s="7" t="s">
        <v>8</v>
      </c>
      <c r="D233" s="7" t="s">
        <v>9</v>
      </c>
      <c r="E233" s="7" t="str">
        <f>"符松山"</f>
        <v>符松山</v>
      </c>
      <c r="F233" s="7" t="str">
        <f t="shared" si="50"/>
        <v>男</v>
      </c>
      <c r="G233" s="7" t="s">
        <v>236</v>
      </c>
      <c r="H233" s="8"/>
    </row>
    <row r="234" ht="25" customHeight="1" spans="1:8">
      <c r="A234" s="6">
        <v>232</v>
      </c>
      <c r="B234" s="7" t="str">
        <f t="shared" si="43"/>
        <v>101</v>
      </c>
      <c r="C234" s="7" t="s">
        <v>8</v>
      </c>
      <c r="D234" s="7" t="s">
        <v>9</v>
      </c>
      <c r="E234" s="7" t="str">
        <f>"黄堂"</f>
        <v>黄堂</v>
      </c>
      <c r="F234" s="7" t="str">
        <f t="shared" si="50"/>
        <v>男</v>
      </c>
      <c r="G234" s="7" t="s">
        <v>237</v>
      </c>
      <c r="H234" s="8"/>
    </row>
    <row r="235" ht="25" customHeight="1" spans="1:8">
      <c r="A235" s="6">
        <v>233</v>
      </c>
      <c r="B235" s="7" t="str">
        <f t="shared" si="43"/>
        <v>101</v>
      </c>
      <c r="C235" s="7" t="s">
        <v>8</v>
      </c>
      <c r="D235" s="7" t="s">
        <v>9</v>
      </c>
      <c r="E235" s="7" t="str">
        <f>"林友颖"</f>
        <v>林友颖</v>
      </c>
      <c r="F235" s="7" t="str">
        <f t="shared" si="51"/>
        <v>女</v>
      </c>
      <c r="G235" s="7" t="s">
        <v>238</v>
      </c>
      <c r="H235" s="8"/>
    </row>
    <row r="236" ht="25" customHeight="1" spans="1:8">
      <c r="A236" s="6">
        <v>234</v>
      </c>
      <c r="B236" s="7" t="str">
        <f t="shared" si="43"/>
        <v>101</v>
      </c>
      <c r="C236" s="7" t="s">
        <v>8</v>
      </c>
      <c r="D236" s="7" t="s">
        <v>9</v>
      </c>
      <c r="E236" s="7" t="str">
        <f>"陈道杰"</f>
        <v>陈道杰</v>
      </c>
      <c r="F236" s="7" t="str">
        <f t="shared" ref="F236:F239" si="52">"男"</f>
        <v>男</v>
      </c>
      <c r="G236" s="7" t="s">
        <v>239</v>
      </c>
      <c r="H236" s="8"/>
    </row>
    <row r="237" ht="25" customHeight="1" spans="1:8">
      <c r="A237" s="6">
        <v>235</v>
      </c>
      <c r="B237" s="7" t="str">
        <f t="shared" si="43"/>
        <v>101</v>
      </c>
      <c r="C237" s="7" t="s">
        <v>8</v>
      </c>
      <c r="D237" s="7" t="s">
        <v>9</v>
      </c>
      <c r="E237" s="7" t="str">
        <f>"林忻"</f>
        <v>林忻</v>
      </c>
      <c r="F237" s="7" t="str">
        <f t="shared" ref="F237:F243" si="53">"女"</f>
        <v>女</v>
      </c>
      <c r="G237" s="7" t="s">
        <v>240</v>
      </c>
      <c r="H237" s="8"/>
    </row>
    <row r="238" ht="25" customHeight="1" spans="1:8">
      <c r="A238" s="6">
        <v>236</v>
      </c>
      <c r="B238" s="7" t="str">
        <f t="shared" si="43"/>
        <v>101</v>
      </c>
      <c r="C238" s="7" t="s">
        <v>8</v>
      </c>
      <c r="D238" s="7" t="s">
        <v>9</v>
      </c>
      <c r="E238" s="7" t="str">
        <f>"石林"</f>
        <v>石林</v>
      </c>
      <c r="F238" s="7" t="str">
        <f t="shared" si="52"/>
        <v>男</v>
      </c>
      <c r="G238" s="7" t="s">
        <v>241</v>
      </c>
      <c r="H238" s="8"/>
    </row>
    <row r="239" ht="25" customHeight="1" spans="1:8">
      <c r="A239" s="6">
        <v>237</v>
      </c>
      <c r="B239" s="7" t="str">
        <f t="shared" si="43"/>
        <v>101</v>
      </c>
      <c r="C239" s="7" t="s">
        <v>8</v>
      </c>
      <c r="D239" s="7" t="s">
        <v>9</v>
      </c>
      <c r="E239" s="7" t="str">
        <f>"张成昊"</f>
        <v>张成昊</v>
      </c>
      <c r="F239" s="7" t="str">
        <f t="shared" si="52"/>
        <v>男</v>
      </c>
      <c r="G239" s="7" t="s">
        <v>242</v>
      </c>
      <c r="H239" s="8"/>
    </row>
    <row r="240" ht="25" customHeight="1" spans="1:8">
      <c r="A240" s="6">
        <v>238</v>
      </c>
      <c r="B240" s="7" t="str">
        <f t="shared" si="43"/>
        <v>101</v>
      </c>
      <c r="C240" s="7" t="s">
        <v>8</v>
      </c>
      <c r="D240" s="7" t="s">
        <v>9</v>
      </c>
      <c r="E240" s="7" t="str">
        <f>"王施丹"</f>
        <v>王施丹</v>
      </c>
      <c r="F240" s="7" t="str">
        <f t="shared" si="53"/>
        <v>女</v>
      </c>
      <c r="G240" s="7" t="s">
        <v>243</v>
      </c>
      <c r="H240" s="8"/>
    </row>
    <row r="241" ht="25" customHeight="1" spans="1:8">
      <c r="A241" s="6">
        <v>239</v>
      </c>
      <c r="B241" s="7" t="str">
        <f t="shared" si="43"/>
        <v>101</v>
      </c>
      <c r="C241" s="7" t="s">
        <v>8</v>
      </c>
      <c r="D241" s="7" t="s">
        <v>9</v>
      </c>
      <c r="E241" s="7" t="str">
        <f>"梁芳语"</f>
        <v>梁芳语</v>
      </c>
      <c r="F241" s="7" t="str">
        <f t="shared" si="53"/>
        <v>女</v>
      </c>
      <c r="G241" s="7" t="s">
        <v>244</v>
      </c>
      <c r="H241" s="8"/>
    </row>
    <row r="242" ht="25" customHeight="1" spans="1:8">
      <c r="A242" s="6">
        <v>240</v>
      </c>
      <c r="B242" s="7" t="str">
        <f t="shared" si="43"/>
        <v>101</v>
      </c>
      <c r="C242" s="7" t="s">
        <v>8</v>
      </c>
      <c r="D242" s="7" t="s">
        <v>9</v>
      </c>
      <c r="E242" s="7" t="str">
        <f>"张宁"</f>
        <v>张宁</v>
      </c>
      <c r="F242" s="7" t="str">
        <f t="shared" si="53"/>
        <v>女</v>
      </c>
      <c r="G242" s="7" t="s">
        <v>245</v>
      </c>
      <c r="H242" s="8"/>
    </row>
    <row r="243" ht="25" customHeight="1" spans="1:8">
      <c r="A243" s="6">
        <v>241</v>
      </c>
      <c r="B243" s="7" t="str">
        <f t="shared" si="43"/>
        <v>101</v>
      </c>
      <c r="C243" s="7" t="s">
        <v>8</v>
      </c>
      <c r="D243" s="7" t="s">
        <v>9</v>
      </c>
      <c r="E243" s="7" t="str">
        <f>"高秀月"</f>
        <v>高秀月</v>
      </c>
      <c r="F243" s="7" t="str">
        <f t="shared" si="53"/>
        <v>女</v>
      </c>
      <c r="G243" s="7" t="s">
        <v>246</v>
      </c>
      <c r="H243" s="8"/>
    </row>
    <row r="244" ht="25" customHeight="1" spans="1:8">
      <c r="A244" s="6">
        <v>242</v>
      </c>
      <c r="B244" s="7" t="str">
        <f t="shared" si="43"/>
        <v>101</v>
      </c>
      <c r="C244" s="7" t="s">
        <v>8</v>
      </c>
      <c r="D244" s="7" t="s">
        <v>9</v>
      </c>
      <c r="E244" s="7" t="str">
        <f>"秦鹏飞"</f>
        <v>秦鹏飞</v>
      </c>
      <c r="F244" s="7" t="str">
        <f t="shared" ref="F244:F249" si="54">"男"</f>
        <v>男</v>
      </c>
      <c r="G244" s="7" t="s">
        <v>247</v>
      </c>
      <c r="H244" s="8"/>
    </row>
    <row r="245" ht="25" customHeight="1" spans="1:8">
      <c r="A245" s="6">
        <v>243</v>
      </c>
      <c r="B245" s="7" t="str">
        <f t="shared" si="43"/>
        <v>101</v>
      </c>
      <c r="C245" s="7" t="s">
        <v>8</v>
      </c>
      <c r="D245" s="7" t="s">
        <v>9</v>
      </c>
      <c r="E245" s="7" t="str">
        <f>"陈月花"</f>
        <v>陈月花</v>
      </c>
      <c r="F245" s="7" t="str">
        <f t="shared" ref="F245:F251" si="55">"女"</f>
        <v>女</v>
      </c>
      <c r="G245" s="7" t="s">
        <v>76</v>
      </c>
      <c r="H245" s="8"/>
    </row>
    <row r="246" ht="25" customHeight="1" spans="1:8">
      <c r="A246" s="6">
        <v>244</v>
      </c>
      <c r="B246" s="7" t="str">
        <f t="shared" si="43"/>
        <v>101</v>
      </c>
      <c r="C246" s="7" t="s">
        <v>8</v>
      </c>
      <c r="D246" s="7" t="s">
        <v>9</v>
      </c>
      <c r="E246" s="7" t="str">
        <f>"符玉婷"</f>
        <v>符玉婷</v>
      </c>
      <c r="F246" s="7" t="str">
        <f t="shared" si="55"/>
        <v>女</v>
      </c>
      <c r="G246" s="7" t="s">
        <v>248</v>
      </c>
      <c r="H246" s="8"/>
    </row>
    <row r="247" ht="25" customHeight="1" spans="1:8">
      <c r="A247" s="6">
        <v>245</v>
      </c>
      <c r="B247" s="7" t="str">
        <f t="shared" si="43"/>
        <v>101</v>
      </c>
      <c r="C247" s="7" t="s">
        <v>8</v>
      </c>
      <c r="D247" s="7" t="s">
        <v>9</v>
      </c>
      <c r="E247" s="7" t="str">
        <f>"殷光畴"</f>
        <v>殷光畴</v>
      </c>
      <c r="F247" s="7" t="str">
        <f t="shared" si="54"/>
        <v>男</v>
      </c>
      <c r="G247" s="7" t="s">
        <v>249</v>
      </c>
      <c r="H247" s="8"/>
    </row>
    <row r="248" ht="25" customHeight="1" spans="1:8">
      <c r="A248" s="6">
        <v>246</v>
      </c>
      <c r="B248" s="7" t="str">
        <f t="shared" si="43"/>
        <v>101</v>
      </c>
      <c r="C248" s="7" t="s">
        <v>8</v>
      </c>
      <c r="D248" s="7" t="s">
        <v>9</v>
      </c>
      <c r="E248" s="7" t="str">
        <f>"王开戌"</f>
        <v>王开戌</v>
      </c>
      <c r="F248" s="7" t="str">
        <f t="shared" si="54"/>
        <v>男</v>
      </c>
      <c r="G248" s="7" t="s">
        <v>250</v>
      </c>
      <c r="H248" s="8"/>
    </row>
    <row r="249" ht="25" customHeight="1" spans="1:8">
      <c r="A249" s="6">
        <v>247</v>
      </c>
      <c r="B249" s="7" t="str">
        <f t="shared" si="43"/>
        <v>101</v>
      </c>
      <c r="C249" s="7" t="s">
        <v>8</v>
      </c>
      <c r="D249" s="7" t="s">
        <v>9</v>
      </c>
      <c r="E249" s="7" t="str">
        <f>"蒋东林"</f>
        <v>蒋东林</v>
      </c>
      <c r="F249" s="7" t="str">
        <f t="shared" si="54"/>
        <v>男</v>
      </c>
      <c r="G249" s="7" t="s">
        <v>251</v>
      </c>
      <c r="H249" s="8"/>
    </row>
    <row r="250" ht="25" customHeight="1" spans="1:8">
      <c r="A250" s="6">
        <v>248</v>
      </c>
      <c r="B250" s="7" t="str">
        <f t="shared" si="43"/>
        <v>101</v>
      </c>
      <c r="C250" s="7" t="s">
        <v>8</v>
      </c>
      <c r="D250" s="7" t="s">
        <v>9</v>
      </c>
      <c r="E250" s="7" t="str">
        <f>"云天珍"</f>
        <v>云天珍</v>
      </c>
      <c r="F250" s="7" t="str">
        <f t="shared" si="55"/>
        <v>女</v>
      </c>
      <c r="G250" s="7" t="s">
        <v>252</v>
      </c>
      <c r="H250" s="8"/>
    </row>
    <row r="251" ht="25" customHeight="1" spans="1:8">
      <c r="A251" s="6">
        <v>249</v>
      </c>
      <c r="B251" s="7" t="str">
        <f t="shared" si="43"/>
        <v>101</v>
      </c>
      <c r="C251" s="7" t="s">
        <v>8</v>
      </c>
      <c r="D251" s="7" t="s">
        <v>9</v>
      </c>
      <c r="E251" s="7" t="str">
        <f>"杨言晖"</f>
        <v>杨言晖</v>
      </c>
      <c r="F251" s="7" t="str">
        <f t="shared" si="55"/>
        <v>女</v>
      </c>
      <c r="G251" s="7" t="s">
        <v>253</v>
      </c>
      <c r="H251" s="8"/>
    </row>
    <row r="252" ht="25" customHeight="1" spans="1:8">
      <c r="A252" s="6">
        <v>250</v>
      </c>
      <c r="B252" s="7" t="str">
        <f t="shared" si="43"/>
        <v>101</v>
      </c>
      <c r="C252" s="7" t="s">
        <v>8</v>
      </c>
      <c r="D252" s="7" t="s">
        <v>9</v>
      </c>
      <c r="E252" s="7" t="str">
        <f>"胡豪"</f>
        <v>胡豪</v>
      </c>
      <c r="F252" s="7" t="str">
        <f t="shared" ref="F252:F255" si="56">"男"</f>
        <v>男</v>
      </c>
      <c r="G252" s="7" t="s">
        <v>254</v>
      </c>
      <c r="H252" s="8"/>
    </row>
    <row r="253" ht="25" customHeight="1" spans="1:8">
      <c r="A253" s="6">
        <v>251</v>
      </c>
      <c r="B253" s="7" t="str">
        <f t="shared" si="43"/>
        <v>101</v>
      </c>
      <c r="C253" s="7" t="s">
        <v>8</v>
      </c>
      <c r="D253" s="7" t="s">
        <v>9</v>
      </c>
      <c r="E253" s="7" t="str">
        <f>"刘博"</f>
        <v>刘博</v>
      </c>
      <c r="F253" s="7" t="str">
        <f t="shared" si="56"/>
        <v>男</v>
      </c>
      <c r="G253" s="7" t="s">
        <v>255</v>
      </c>
      <c r="H253" s="8"/>
    </row>
    <row r="254" ht="25" customHeight="1" spans="1:8">
      <c r="A254" s="6">
        <v>252</v>
      </c>
      <c r="B254" s="7" t="str">
        <f t="shared" si="43"/>
        <v>101</v>
      </c>
      <c r="C254" s="7" t="s">
        <v>8</v>
      </c>
      <c r="D254" s="7" t="s">
        <v>9</v>
      </c>
      <c r="E254" s="7" t="str">
        <f>"许晓闻"</f>
        <v>许晓闻</v>
      </c>
      <c r="F254" s="7" t="str">
        <f t="shared" ref="F254:F257" si="57">"女"</f>
        <v>女</v>
      </c>
      <c r="G254" s="7" t="s">
        <v>256</v>
      </c>
      <c r="H254" s="8"/>
    </row>
    <row r="255" ht="25" customHeight="1" spans="1:8">
      <c r="A255" s="6">
        <v>253</v>
      </c>
      <c r="B255" s="7" t="str">
        <f t="shared" si="43"/>
        <v>101</v>
      </c>
      <c r="C255" s="7" t="s">
        <v>8</v>
      </c>
      <c r="D255" s="7" t="s">
        <v>9</v>
      </c>
      <c r="E255" s="7" t="str">
        <f>"何晶"</f>
        <v>何晶</v>
      </c>
      <c r="F255" s="7" t="str">
        <f t="shared" si="56"/>
        <v>男</v>
      </c>
      <c r="G255" s="7" t="s">
        <v>257</v>
      </c>
      <c r="H255" s="8"/>
    </row>
    <row r="256" ht="25" customHeight="1" spans="1:8">
      <c r="A256" s="6">
        <v>254</v>
      </c>
      <c r="B256" s="7" t="str">
        <f t="shared" si="43"/>
        <v>101</v>
      </c>
      <c r="C256" s="7" t="s">
        <v>8</v>
      </c>
      <c r="D256" s="7" t="s">
        <v>9</v>
      </c>
      <c r="E256" s="7" t="str">
        <f>"陈琳"</f>
        <v>陈琳</v>
      </c>
      <c r="F256" s="7" t="str">
        <f t="shared" si="57"/>
        <v>女</v>
      </c>
      <c r="G256" s="7" t="s">
        <v>258</v>
      </c>
      <c r="H256" s="8"/>
    </row>
    <row r="257" ht="25" customHeight="1" spans="1:8">
      <c r="A257" s="6">
        <v>255</v>
      </c>
      <c r="B257" s="7" t="str">
        <f t="shared" si="43"/>
        <v>101</v>
      </c>
      <c r="C257" s="7" t="s">
        <v>8</v>
      </c>
      <c r="D257" s="7" t="s">
        <v>9</v>
      </c>
      <c r="E257" s="7" t="str">
        <f>"高宇婷"</f>
        <v>高宇婷</v>
      </c>
      <c r="F257" s="7" t="str">
        <f t="shared" si="57"/>
        <v>女</v>
      </c>
      <c r="G257" s="7" t="s">
        <v>259</v>
      </c>
      <c r="H257" s="8"/>
    </row>
    <row r="258" ht="25" customHeight="1" spans="1:8">
      <c r="A258" s="6">
        <v>256</v>
      </c>
      <c r="B258" s="7" t="str">
        <f t="shared" si="43"/>
        <v>101</v>
      </c>
      <c r="C258" s="7" t="s">
        <v>8</v>
      </c>
      <c r="D258" s="7" t="s">
        <v>9</v>
      </c>
      <c r="E258" s="7" t="str">
        <f>"张鸿锦"</f>
        <v>张鸿锦</v>
      </c>
      <c r="F258" s="7" t="str">
        <f>"男"</f>
        <v>男</v>
      </c>
      <c r="G258" s="7" t="s">
        <v>260</v>
      </c>
      <c r="H258" s="8"/>
    </row>
    <row r="259" ht="25" customHeight="1" spans="1:8">
      <c r="A259" s="6">
        <v>257</v>
      </c>
      <c r="B259" s="7" t="str">
        <f t="shared" ref="B259:B322" si="58">"101"</f>
        <v>101</v>
      </c>
      <c r="C259" s="7" t="s">
        <v>8</v>
      </c>
      <c r="D259" s="7" t="s">
        <v>9</v>
      </c>
      <c r="E259" s="7" t="str">
        <f>"董卓雪"</f>
        <v>董卓雪</v>
      </c>
      <c r="F259" s="7" t="str">
        <f t="shared" ref="F259:F264" si="59">"女"</f>
        <v>女</v>
      </c>
      <c r="G259" s="7" t="s">
        <v>261</v>
      </c>
      <c r="H259" s="8"/>
    </row>
    <row r="260" ht="25" customHeight="1" spans="1:8">
      <c r="A260" s="6">
        <v>258</v>
      </c>
      <c r="B260" s="7" t="str">
        <f t="shared" si="58"/>
        <v>101</v>
      </c>
      <c r="C260" s="7" t="s">
        <v>8</v>
      </c>
      <c r="D260" s="7" t="s">
        <v>9</v>
      </c>
      <c r="E260" s="7" t="str">
        <f>"谢君"</f>
        <v>谢君</v>
      </c>
      <c r="F260" s="7" t="str">
        <f t="shared" si="59"/>
        <v>女</v>
      </c>
      <c r="G260" s="7" t="s">
        <v>262</v>
      </c>
      <c r="H260" s="8"/>
    </row>
    <row r="261" ht="25" customHeight="1" spans="1:8">
      <c r="A261" s="6">
        <v>259</v>
      </c>
      <c r="B261" s="7" t="str">
        <f t="shared" si="58"/>
        <v>101</v>
      </c>
      <c r="C261" s="7" t="s">
        <v>8</v>
      </c>
      <c r="D261" s="7" t="s">
        <v>9</v>
      </c>
      <c r="E261" s="7" t="str">
        <f>"张书睿"</f>
        <v>张书睿</v>
      </c>
      <c r="F261" s="7" t="str">
        <f t="shared" si="59"/>
        <v>女</v>
      </c>
      <c r="G261" s="7" t="s">
        <v>263</v>
      </c>
      <c r="H261" s="8"/>
    </row>
    <row r="262" ht="25" customHeight="1" spans="1:8">
      <c r="A262" s="6">
        <v>260</v>
      </c>
      <c r="B262" s="7" t="str">
        <f t="shared" si="58"/>
        <v>101</v>
      </c>
      <c r="C262" s="7" t="s">
        <v>8</v>
      </c>
      <c r="D262" s="7" t="s">
        <v>9</v>
      </c>
      <c r="E262" s="7" t="str">
        <f>"杜婷婷"</f>
        <v>杜婷婷</v>
      </c>
      <c r="F262" s="7" t="str">
        <f t="shared" si="59"/>
        <v>女</v>
      </c>
      <c r="G262" s="7" t="s">
        <v>264</v>
      </c>
      <c r="H262" s="8"/>
    </row>
    <row r="263" ht="25" customHeight="1" spans="1:8">
      <c r="A263" s="6">
        <v>261</v>
      </c>
      <c r="B263" s="7" t="str">
        <f t="shared" si="58"/>
        <v>101</v>
      </c>
      <c r="C263" s="7" t="s">
        <v>8</v>
      </c>
      <c r="D263" s="7" t="s">
        <v>9</v>
      </c>
      <c r="E263" s="7" t="str">
        <f>"张杨"</f>
        <v>张杨</v>
      </c>
      <c r="F263" s="7" t="str">
        <f t="shared" si="59"/>
        <v>女</v>
      </c>
      <c r="G263" s="7" t="s">
        <v>265</v>
      </c>
      <c r="H263" s="8"/>
    </row>
    <row r="264" ht="25" customHeight="1" spans="1:8">
      <c r="A264" s="6">
        <v>262</v>
      </c>
      <c r="B264" s="7" t="str">
        <f t="shared" si="58"/>
        <v>101</v>
      </c>
      <c r="C264" s="7" t="s">
        <v>8</v>
      </c>
      <c r="D264" s="7" t="s">
        <v>9</v>
      </c>
      <c r="E264" s="7" t="str">
        <f>"钟蓓"</f>
        <v>钟蓓</v>
      </c>
      <c r="F264" s="7" t="str">
        <f t="shared" si="59"/>
        <v>女</v>
      </c>
      <c r="G264" s="7" t="s">
        <v>266</v>
      </c>
      <c r="H264" s="8"/>
    </row>
    <row r="265" ht="25" customHeight="1" spans="1:8">
      <c r="A265" s="6">
        <v>263</v>
      </c>
      <c r="B265" s="7" t="str">
        <f t="shared" si="58"/>
        <v>101</v>
      </c>
      <c r="C265" s="7" t="s">
        <v>8</v>
      </c>
      <c r="D265" s="7" t="s">
        <v>9</v>
      </c>
      <c r="E265" s="7" t="str">
        <f>"杨义辉"</f>
        <v>杨义辉</v>
      </c>
      <c r="F265" s="7" t="str">
        <f>"男"</f>
        <v>男</v>
      </c>
      <c r="G265" s="7" t="s">
        <v>267</v>
      </c>
      <c r="H265" s="8"/>
    </row>
    <row r="266" ht="25" customHeight="1" spans="1:8">
      <c r="A266" s="6">
        <v>264</v>
      </c>
      <c r="B266" s="7" t="str">
        <f t="shared" si="58"/>
        <v>101</v>
      </c>
      <c r="C266" s="7" t="s">
        <v>8</v>
      </c>
      <c r="D266" s="7" t="s">
        <v>9</v>
      </c>
      <c r="E266" s="7" t="str">
        <f>"邹思榕"</f>
        <v>邹思榕</v>
      </c>
      <c r="F266" s="7" t="str">
        <f t="shared" ref="F266:F268" si="60">"女"</f>
        <v>女</v>
      </c>
      <c r="G266" s="7" t="s">
        <v>268</v>
      </c>
      <c r="H266" s="8"/>
    </row>
    <row r="267" ht="25" customHeight="1" spans="1:8">
      <c r="A267" s="6">
        <v>265</v>
      </c>
      <c r="B267" s="7" t="str">
        <f t="shared" si="58"/>
        <v>101</v>
      </c>
      <c r="C267" s="7" t="s">
        <v>8</v>
      </c>
      <c r="D267" s="7" t="s">
        <v>9</v>
      </c>
      <c r="E267" s="7" t="str">
        <f>"李丽红"</f>
        <v>李丽红</v>
      </c>
      <c r="F267" s="7" t="str">
        <f t="shared" si="60"/>
        <v>女</v>
      </c>
      <c r="G267" s="7" t="s">
        <v>269</v>
      </c>
      <c r="H267" s="8"/>
    </row>
    <row r="268" ht="25" customHeight="1" spans="1:8">
      <c r="A268" s="6">
        <v>266</v>
      </c>
      <c r="B268" s="7" t="str">
        <f t="shared" si="58"/>
        <v>101</v>
      </c>
      <c r="C268" s="7" t="s">
        <v>8</v>
      </c>
      <c r="D268" s="7" t="s">
        <v>9</v>
      </c>
      <c r="E268" s="7" t="str">
        <f>"夏卓然"</f>
        <v>夏卓然</v>
      </c>
      <c r="F268" s="7" t="str">
        <f t="shared" si="60"/>
        <v>女</v>
      </c>
      <c r="G268" s="7" t="s">
        <v>270</v>
      </c>
      <c r="H268" s="8"/>
    </row>
    <row r="269" ht="25" customHeight="1" spans="1:8">
      <c r="A269" s="6">
        <v>267</v>
      </c>
      <c r="B269" s="7" t="str">
        <f t="shared" si="58"/>
        <v>101</v>
      </c>
      <c r="C269" s="7" t="s">
        <v>8</v>
      </c>
      <c r="D269" s="7" t="s">
        <v>9</v>
      </c>
      <c r="E269" s="7" t="str">
        <f>"李文轩"</f>
        <v>李文轩</v>
      </c>
      <c r="F269" s="7" t="str">
        <f t="shared" ref="F269:F273" si="61">"男"</f>
        <v>男</v>
      </c>
      <c r="G269" s="7" t="s">
        <v>271</v>
      </c>
      <c r="H269" s="8"/>
    </row>
    <row r="270" ht="25" customHeight="1" spans="1:8">
      <c r="A270" s="6">
        <v>268</v>
      </c>
      <c r="B270" s="7" t="str">
        <f t="shared" si="58"/>
        <v>101</v>
      </c>
      <c r="C270" s="7" t="s">
        <v>8</v>
      </c>
      <c r="D270" s="7" t="s">
        <v>9</v>
      </c>
      <c r="E270" s="7" t="str">
        <f>"陈芳"</f>
        <v>陈芳</v>
      </c>
      <c r="F270" s="7" t="str">
        <f t="shared" ref="F270:F276" si="62">"女"</f>
        <v>女</v>
      </c>
      <c r="G270" s="7" t="s">
        <v>272</v>
      </c>
      <c r="H270" s="8"/>
    </row>
    <row r="271" ht="25" customHeight="1" spans="1:8">
      <c r="A271" s="6">
        <v>269</v>
      </c>
      <c r="B271" s="7" t="str">
        <f t="shared" si="58"/>
        <v>101</v>
      </c>
      <c r="C271" s="7" t="s">
        <v>8</v>
      </c>
      <c r="D271" s="7" t="s">
        <v>9</v>
      </c>
      <c r="E271" s="7" t="str">
        <f>"卢昀炜"</f>
        <v>卢昀炜</v>
      </c>
      <c r="F271" s="7" t="str">
        <f t="shared" si="61"/>
        <v>男</v>
      </c>
      <c r="G271" s="7" t="s">
        <v>273</v>
      </c>
      <c r="H271" s="8"/>
    </row>
    <row r="272" ht="25" customHeight="1" spans="1:8">
      <c r="A272" s="6">
        <v>270</v>
      </c>
      <c r="B272" s="7" t="str">
        <f t="shared" si="58"/>
        <v>101</v>
      </c>
      <c r="C272" s="7" t="s">
        <v>8</v>
      </c>
      <c r="D272" s="7" t="s">
        <v>9</v>
      </c>
      <c r="E272" s="7" t="str">
        <f>"郑怡巧"</f>
        <v>郑怡巧</v>
      </c>
      <c r="F272" s="7" t="str">
        <f t="shared" si="62"/>
        <v>女</v>
      </c>
      <c r="G272" s="7" t="s">
        <v>76</v>
      </c>
      <c r="H272" s="8"/>
    </row>
    <row r="273" ht="25" customHeight="1" spans="1:8">
      <c r="A273" s="6">
        <v>271</v>
      </c>
      <c r="B273" s="7" t="str">
        <f t="shared" si="58"/>
        <v>101</v>
      </c>
      <c r="C273" s="7" t="s">
        <v>8</v>
      </c>
      <c r="D273" s="7" t="s">
        <v>9</v>
      </c>
      <c r="E273" s="7" t="str">
        <f>"宋胤达"</f>
        <v>宋胤达</v>
      </c>
      <c r="F273" s="7" t="str">
        <f t="shared" si="61"/>
        <v>男</v>
      </c>
      <c r="G273" s="7" t="s">
        <v>274</v>
      </c>
      <c r="H273" s="8"/>
    </row>
    <row r="274" ht="25" customHeight="1" spans="1:8">
      <c r="A274" s="6">
        <v>272</v>
      </c>
      <c r="B274" s="7" t="str">
        <f t="shared" si="58"/>
        <v>101</v>
      </c>
      <c r="C274" s="7" t="s">
        <v>8</v>
      </c>
      <c r="D274" s="7" t="s">
        <v>9</v>
      </c>
      <c r="E274" s="7" t="str">
        <f>"李雪冬"</f>
        <v>李雪冬</v>
      </c>
      <c r="F274" s="7" t="str">
        <f t="shared" si="62"/>
        <v>女</v>
      </c>
      <c r="G274" s="7" t="s">
        <v>275</v>
      </c>
      <c r="H274" s="8"/>
    </row>
    <row r="275" ht="25" customHeight="1" spans="1:8">
      <c r="A275" s="6">
        <v>273</v>
      </c>
      <c r="B275" s="7" t="str">
        <f t="shared" si="58"/>
        <v>101</v>
      </c>
      <c r="C275" s="7" t="s">
        <v>8</v>
      </c>
      <c r="D275" s="7" t="s">
        <v>9</v>
      </c>
      <c r="E275" s="7" t="str">
        <f>"黄月"</f>
        <v>黄月</v>
      </c>
      <c r="F275" s="7" t="str">
        <f t="shared" si="62"/>
        <v>女</v>
      </c>
      <c r="G275" s="7" t="s">
        <v>276</v>
      </c>
      <c r="H275" s="8"/>
    </row>
    <row r="276" ht="25" customHeight="1" spans="1:8">
      <c r="A276" s="6">
        <v>274</v>
      </c>
      <c r="B276" s="7" t="str">
        <f t="shared" si="58"/>
        <v>101</v>
      </c>
      <c r="C276" s="7" t="s">
        <v>8</v>
      </c>
      <c r="D276" s="7" t="s">
        <v>9</v>
      </c>
      <c r="E276" s="7" t="str">
        <f>"曹泽文"</f>
        <v>曹泽文</v>
      </c>
      <c r="F276" s="7" t="str">
        <f t="shared" si="62"/>
        <v>女</v>
      </c>
      <c r="G276" s="7" t="s">
        <v>277</v>
      </c>
      <c r="H276" s="8"/>
    </row>
    <row r="277" ht="25" customHeight="1" spans="1:8">
      <c r="A277" s="6">
        <v>275</v>
      </c>
      <c r="B277" s="7" t="str">
        <f t="shared" si="58"/>
        <v>101</v>
      </c>
      <c r="C277" s="7" t="s">
        <v>8</v>
      </c>
      <c r="D277" s="7" t="s">
        <v>9</v>
      </c>
      <c r="E277" s="7" t="str">
        <f>"伍世鹏"</f>
        <v>伍世鹏</v>
      </c>
      <c r="F277" s="7" t="str">
        <f t="shared" ref="F277:F280" si="63">"男"</f>
        <v>男</v>
      </c>
      <c r="G277" s="7" t="s">
        <v>278</v>
      </c>
      <c r="H277" s="8"/>
    </row>
    <row r="278" ht="25" customHeight="1" spans="1:8">
      <c r="A278" s="6">
        <v>276</v>
      </c>
      <c r="B278" s="7" t="str">
        <f t="shared" si="58"/>
        <v>101</v>
      </c>
      <c r="C278" s="7" t="s">
        <v>8</v>
      </c>
      <c r="D278" s="7" t="s">
        <v>9</v>
      </c>
      <c r="E278" s="7" t="str">
        <f>"高福禄"</f>
        <v>高福禄</v>
      </c>
      <c r="F278" s="7" t="str">
        <f t="shared" si="63"/>
        <v>男</v>
      </c>
      <c r="G278" s="7" t="s">
        <v>279</v>
      </c>
      <c r="H278" s="8"/>
    </row>
    <row r="279" ht="25" customHeight="1" spans="1:8">
      <c r="A279" s="6">
        <v>277</v>
      </c>
      <c r="B279" s="7" t="str">
        <f t="shared" si="58"/>
        <v>101</v>
      </c>
      <c r="C279" s="7" t="s">
        <v>8</v>
      </c>
      <c r="D279" s="7" t="s">
        <v>9</v>
      </c>
      <c r="E279" s="7" t="str">
        <f>"朱芷彤"</f>
        <v>朱芷彤</v>
      </c>
      <c r="F279" s="7" t="str">
        <f t="shared" ref="F279:F284" si="64">"女"</f>
        <v>女</v>
      </c>
      <c r="G279" s="7" t="s">
        <v>280</v>
      </c>
      <c r="H279" s="8"/>
    </row>
    <row r="280" ht="25" customHeight="1" spans="1:8">
      <c r="A280" s="6">
        <v>278</v>
      </c>
      <c r="B280" s="7" t="str">
        <f t="shared" si="58"/>
        <v>101</v>
      </c>
      <c r="C280" s="7" t="s">
        <v>8</v>
      </c>
      <c r="D280" s="7" t="s">
        <v>9</v>
      </c>
      <c r="E280" s="7" t="str">
        <f>"陈让峥"</f>
        <v>陈让峥</v>
      </c>
      <c r="F280" s="7" t="str">
        <f t="shared" si="63"/>
        <v>男</v>
      </c>
      <c r="G280" s="7" t="s">
        <v>281</v>
      </c>
      <c r="H280" s="8"/>
    </row>
    <row r="281" ht="25" customHeight="1" spans="1:8">
      <c r="A281" s="6">
        <v>279</v>
      </c>
      <c r="B281" s="7" t="str">
        <f t="shared" si="58"/>
        <v>101</v>
      </c>
      <c r="C281" s="7" t="s">
        <v>8</v>
      </c>
      <c r="D281" s="7" t="s">
        <v>9</v>
      </c>
      <c r="E281" s="7" t="str">
        <f>"苏亚俊"</f>
        <v>苏亚俊</v>
      </c>
      <c r="F281" s="7" t="str">
        <f t="shared" si="64"/>
        <v>女</v>
      </c>
      <c r="G281" s="7" t="s">
        <v>282</v>
      </c>
      <c r="H281" s="8"/>
    </row>
    <row r="282" ht="25" customHeight="1" spans="1:8">
      <c r="A282" s="6">
        <v>280</v>
      </c>
      <c r="B282" s="7" t="str">
        <f t="shared" si="58"/>
        <v>101</v>
      </c>
      <c r="C282" s="7" t="s">
        <v>8</v>
      </c>
      <c r="D282" s="7" t="s">
        <v>9</v>
      </c>
      <c r="E282" s="7" t="str">
        <f>"毛宁"</f>
        <v>毛宁</v>
      </c>
      <c r="F282" s="7" t="str">
        <f>"男"</f>
        <v>男</v>
      </c>
      <c r="G282" s="7" t="s">
        <v>283</v>
      </c>
      <c r="H282" s="8"/>
    </row>
    <row r="283" ht="25" customHeight="1" spans="1:8">
      <c r="A283" s="6">
        <v>281</v>
      </c>
      <c r="B283" s="7" t="str">
        <f t="shared" si="58"/>
        <v>101</v>
      </c>
      <c r="C283" s="7" t="s">
        <v>8</v>
      </c>
      <c r="D283" s="7" t="s">
        <v>9</v>
      </c>
      <c r="E283" s="7" t="str">
        <f>"黎雅娟"</f>
        <v>黎雅娟</v>
      </c>
      <c r="F283" s="7" t="str">
        <f t="shared" si="64"/>
        <v>女</v>
      </c>
      <c r="G283" s="7" t="s">
        <v>284</v>
      </c>
      <c r="H283" s="8"/>
    </row>
    <row r="284" ht="25" customHeight="1" spans="1:8">
      <c r="A284" s="6">
        <v>282</v>
      </c>
      <c r="B284" s="7" t="str">
        <f t="shared" si="58"/>
        <v>101</v>
      </c>
      <c r="C284" s="7" t="s">
        <v>8</v>
      </c>
      <c r="D284" s="7" t="s">
        <v>9</v>
      </c>
      <c r="E284" s="7" t="str">
        <f>"周轶佳"</f>
        <v>周轶佳</v>
      </c>
      <c r="F284" s="7" t="str">
        <f t="shared" si="64"/>
        <v>女</v>
      </c>
      <c r="G284" s="7" t="s">
        <v>285</v>
      </c>
      <c r="H284" s="8"/>
    </row>
    <row r="285" ht="25" customHeight="1" spans="1:8">
      <c r="A285" s="6">
        <v>283</v>
      </c>
      <c r="B285" s="7" t="str">
        <f t="shared" si="58"/>
        <v>101</v>
      </c>
      <c r="C285" s="7" t="s">
        <v>8</v>
      </c>
      <c r="D285" s="7" t="s">
        <v>9</v>
      </c>
      <c r="E285" s="7" t="str">
        <f>"王国任"</f>
        <v>王国任</v>
      </c>
      <c r="F285" s="7" t="str">
        <f>"男"</f>
        <v>男</v>
      </c>
      <c r="G285" s="7" t="s">
        <v>286</v>
      </c>
      <c r="H285" s="8"/>
    </row>
    <row r="286" ht="25" customHeight="1" spans="1:8">
      <c r="A286" s="6">
        <v>284</v>
      </c>
      <c r="B286" s="7" t="str">
        <f t="shared" si="58"/>
        <v>101</v>
      </c>
      <c r="C286" s="7" t="s">
        <v>8</v>
      </c>
      <c r="D286" s="7" t="s">
        <v>9</v>
      </c>
      <c r="E286" s="7" t="str">
        <f>"陈细水"</f>
        <v>陈细水</v>
      </c>
      <c r="F286" s="7" t="str">
        <f t="shared" ref="F286:F288" si="65">"女"</f>
        <v>女</v>
      </c>
      <c r="G286" s="7" t="s">
        <v>287</v>
      </c>
      <c r="H286" s="8"/>
    </row>
    <row r="287" ht="25" customHeight="1" spans="1:8">
      <c r="A287" s="6">
        <v>285</v>
      </c>
      <c r="B287" s="7" t="str">
        <f t="shared" si="58"/>
        <v>101</v>
      </c>
      <c r="C287" s="7" t="s">
        <v>8</v>
      </c>
      <c r="D287" s="7" t="s">
        <v>9</v>
      </c>
      <c r="E287" s="7" t="str">
        <f>"芈俊义"</f>
        <v>芈俊义</v>
      </c>
      <c r="F287" s="7" t="str">
        <f t="shared" si="65"/>
        <v>女</v>
      </c>
      <c r="G287" s="7" t="s">
        <v>288</v>
      </c>
      <c r="H287" s="8"/>
    </row>
    <row r="288" ht="25" customHeight="1" spans="1:8">
      <c r="A288" s="6">
        <v>286</v>
      </c>
      <c r="B288" s="7" t="str">
        <f t="shared" si="58"/>
        <v>101</v>
      </c>
      <c r="C288" s="7" t="s">
        <v>8</v>
      </c>
      <c r="D288" s="7" t="s">
        <v>9</v>
      </c>
      <c r="E288" s="7" t="str">
        <f>"覃绕"</f>
        <v>覃绕</v>
      </c>
      <c r="F288" s="7" t="str">
        <f t="shared" si="65"/>
        <v>女</v>
      </c>
      <c r="G288" s="7" t="s">
        <v>289</v>
      </c>
      <c r="H288" s="8"/>
    </row>
    <row r="289" ht="25" customHeight="1" spans="1:8">
      <c r="A289" s="6">
        <v>287</v>
      </c>
      <c r="B289" s="7" t="str">
        <f t="shared" si="58"/>
        <v>101</v>
      </c>
      <c r="C289" s="7" t="s">
        <v>8</v>
      </c>
      <c r="D289" s="7" t="s">
        <v>9</v>
      </c>
      <c r="E289" s="7" t="str">
        <f>"王胜"</f>
        <v>王胜</v>
      </c>
      <c r="F289" s="7" t="str">
        <f t="shared" ref="F289:F296" si="66">"男"</f>
        <v>男</v>
      </c>
      <c r="G289" s="7" t="s">
        <v>290</v>
      </c>
      <c r="H289" s="8"/>
    </row>
    <row r="290" ht="25" customHeight="1" spans="1:8">
      <c r="A290" s="6">
        <v>288</v>
      </c>
      <c r="B290" s="7" t="str">
        <f t="shared" si="58"/>
        <v>101</v>
      </c>
      <c r="C290" s="7" t="s">
        <v>8</v>
      </c>
      <c r="D290" s="7" t="s">
        <v>9</v>
      </c>
      <c r="E290" s="7" t="str">
        <f>"朱春穗"</f>
        <v>朱春穗</v>
      </c>
      <c r="F290" s="7" t="str">
        <f>"女"</f>
        <v>女</v>
      </c>
      <c r="G290" s="7" t="s">
        <v>291</v>
      </c>
      <c r="H290" s="8"/>
    </row>
    <row r="291" ht="25" customHeight="1" spans="1:8">
      <c r="A291" s="6">
        <v>289</v>
      </c>
      <c r="B291" s="7" t="str">
        <f t="shared" si="58"/>
        <v>101</v>
      </c>
      <c r="C291" s="7" t="s">
        <v>8</v>
      </c>
      <c r="D291" s="7" t="s">
        <v>9</v>
      </c>
      <c r="E291" s="7" t="str">
        <f>"韩丁鑫"</f>
        <v>韩丁鑫</v>
      </c>
      <c r="F291" s="7" t="str">
        <f>"女"</f>
        <v>女</v>
      </c>
      <c r="G291" s="7" t="s">
        <v>292</v>
      </c>
      <c r="H291" s="8"/>
    </row>
    <row r="292" ht="25" customHeight="1" spans="1:8">
      <c r="A292" s="6">
        <v>290</v>
      </c>
      <c r="B292" s="7" t="str">
        <f t="shared" si="58"/>
        <v>101</v>
      </c>
      <c r="C292" s="7" t="s">
        <v>8</v>
      </c>
      <c r="D292" s="7" t="s">
        <v>9</v>
      </c>
      <c r="E292" s="7" t="str">
        <f>"张亚男"</f>
        <v>张亚男</v>
      </c>
      <c r="F292" s="7" t="str">
        <f t="shared" si="66"/>
        <v>男</v>
      </c>
      <c r="G292" s="7" t="s">
        <v>293</v>
      </c>
      <c r="H292" s="8"/>
    </row>
    <row r="293" ht="25" customHeight="1" spans="1:8">
      <c r="A293" s="6">
        <v>291</v>
      </c>
      <c r="B293" s="7" t="str">
        <f t="shared" si="58"/>
        <v>101</v>
      </c>
      <c r="C293" s="7" t="s">
        <v>8</v>
      </c>
      <c r="D293" s="7" t="s">
        <v>9</v>
      </c>
      <c r="E293" s="7" t="str">
        <f>"杨雨文"</f>
        <v>杨雨文</v>
      </c>
      <c r="F293" s="7" t="str">
        <f t="shared" si="66"/>
        <v>男</v>
      </c>
      <c r="G293" s="7" t="s">
        <v>294</v>
      </c>
      <c r="H293" s="8"/>
    </row>
    <row r="294" ht="25" customHeight="1" spans="1:8">
      <c r="A294" s="6">
        <v>292</v>
      </c>
      <c r="B294" s="7" t="str">
        <f t="shared" si="58"/>
        <v>101</v>
      </c>
      <c r="C294" s="7" t="s">
        <v>8</v>
      </c>
      <c r="D294" s="7" t="s">
        <v>9</v>
      </c>
      <c r="E294" s="7" t="str">
        <f>"陈益豪"</f>
        <v>陈益豪</v>
      </c>
      <c r="F294" s="7" t="str">
        <f t="shared" si="66"/>
        <v>男</v>
      </c>
      <c r="G294" s="7" t="s">
        <v>295</v>
      </c>
      <c r="H294" s="8"/>
    </row>
    <row r="295" ht="25" customHeight="1" spans="1:8">
      <c r="A295" s="6">
        <v>293</v>
      </c>
      <c r="B295" s="7" t="str">
        <f t="shared" si="58"/>
        <v>101</v>
      </c>
      <c r="C295" s="7" t="s">
        <v>8</v>
      </c>
      <c r="D295" s="7" t="s">
        <v>9</v>
      </c>
      <c r="E295" s="7" t="str">
        <f>"林家政"</f>
        <v>林家政</v>
      </c>
      <c r="F295" s="7" t="str">
        <f t="shared" si="66"/>
        <v>男</v>
      </c>
      <c r="G295" s="7" t="s">
        <v>296</v>
      </c>
      <c r="H295" s="8"/>
    </row>
    <row r="296" ht="25" customHeight="1" spans="1:8">
      <c r="A296" s="6">
        <v>294</v>
      </c>
      <c r="B296" s="7" t="str">
        <f t="shared" si="58"/>
        <v>101</v>
      </c>
      <c r="C296" s="7" t="s">
        <v>8</v>
      </c>
      <c r="D296" s="7" t="s">
        <v>9</v>
      </c>
      <c r="E296" s="7" t="str">
        <f>"王斌"</f>
        <v>王斌</v>
      </c>
      <c r="F296" s="7" t="str">
        <f t="shared" si="66"/>
        <v>男</v>
      </c>
      <c r="G296" s="7" t="s">
        <v>297</v>
      </c>
      <c r="H296" s="8"/>
    </row>
    <row r="297" ht="25" customHeight="1" spans="1:8">
      <c r="A297" s="6">
        <v>295</v>
      </c>
      <c r="B297" s="7" t="str">
        <f t="shared" si="58"/>
        <v>101</v>
      </c>
      <c r="C297" s="7" t="s">
        <v>8</v>
      </c>
      <c r="D297" s="7" t="s">
        <v>9</v>
      </c>
      <c r="E297" s="7" t="str">
        <f>" 王文莉"</f>
        <v> 王文莉</v>
      </c>
      <c r="F297" s="7" t="str">
        <f t="shared" ref="F297:F303" si="67">"女"</f>
        <v>女</v>
      </c>
      <c r="G297" s="7" t="s">
        <v>298</v>
      </c>
      <c r="H297" s="8"/>
    </row>
    <row r="298" ht="25" customHeight="1" spans="1:8">
      <c r="A298" s="6">
        <v>296</v>
      </c>
      <c r="B298" s="7" t="str">
        <f t="shared" si="58"/>
        <v>101</v>
      </c>
      <c r="C298" s="7" t="s">
        <v>8</v>
      </c>
      <c r="D298" s="7" t="s">
        <v>9</v>
      </c>
      <c r="E298" s="7" t="str">
        <f>"许瑞楠"</f>
        <v>许瑞楠</v>
      </c>
      <c r="F298" s="7" t="str">
        <f t="shared" si="67"/>
        <v>女</v>
      </c>
      <c r="G298" s="7" t="s">
        <v>299</v>
      </c>
      <c r="H298" s="8"/>
    </row>
    <row r="299" ht="25" customHeight="1" spans="1:8">
      <c r="A299" s="6">
        <v>297</v>
      </c>
      <c r="B299" s="7" t="str">
        <f t="shared" si="58"/>
        <v>101</v>
      </c>
      <c r="C299" s="7" t="s">
        <v>8</v>
      </c>
      <c r="D299" s="7" t="s">
        <v>9</v>
      </c>
      <c r="E299" s="7" t="str">
        <f>"陈玫"</f>
        <v>陈玫</v>
      </c>
      <c r="F299" s="7" t="str">
        <f t="shared" si="67"/>
        <v>女</v>
      </c>
      <c r="G299" s="7" t="s">
        <v>300</v>
      </c>
      <c r="H299" s="8"/>
    </row>
    <row r="300" ht="25" customHeight="1" spans="1:8">
      <c r="A300" s="6">
        <v>298</v>
      </c>
      <c r="B300" s="7" t="str">
        <f t="shared" si="58"/>
        <v>101</v>
      </c>
      <c r="C300" s="7" t="s">
        <v>8</v>
      </c>
      <c r="D300" s="7" t="s">
        <v>9</v>
      </c>
      <c r="E300" s="7" t="str">
        <f>"符允赛"</f>
        <v>符允赛</v>
      </c>
      <c r="F300" s="7" t="str">
        <f t="shared" si="67"/>
        <v>女</v>
      </c>
      <c r="G300" s="7" t="s">
        <v>301</v>
      </c>
      <c r="H300" s="8"/>
    </row>
    <row r="301" ht="25" customHeight="1" spans="1:8">
      <c r="A301" s="6">
        <v>299</v>
      </c>
      <c r="B301" s="7" t="str">
        <f t="shared" si="58"/>
        <v>101</v>
      </c>
      <c r="C301" s="7" t="s">
        <v>8</v>
      </c>
      <c r="D301" s="7" t="s">
        <v>9</v>
      </c>
      <c r="E301" s="7" t="str">
        <f>"李爱琳"</f>
        <v>李爱琳</v>
      </c>
      <c r="F301" s="7" t="str">
        <f t="shared" si="67"/>
        <v>女</v>
      </c>
      <c r="G301" s="7" t="s">
        <v>302</v>
      </c>
      <c r="H301" s="8"/>
    </row>
    <row r="302" ht="25" customHeight="1" spans="1:8">
      <c r="A302" s="6">
        <v>300</v>
      </c>
      <c r="B302" s="7" t="str">
        <f t="shared" si="58"/>
        <v>101</v>
      </c>
      <c r="C302" s="7" t="s">
        <v>8</v>
      </c>
      <c r="D302" s="7" t="s">
        <v>9</v>
      </c>
      <c r="E302" s="7" t="str">
        <f>"黄曼纯"</f>
        <v>黄曼纯</v>
      </c>
      <c r="F302" s="7" t="str">
        <f t="shared" si="67"/>
        <v>女</v>
      </c>
      <c r="G302" s="7" t="s">
        <v>303</v>
      </c>
      <c r="H302" s="8"/>
    </row>
    <row r="303" ht="25" customHeight="1" spans="1:8">
      <c r="A303" s="6">
        <v>301</v>
      </c>
      <c r="B303" s="7" t="str">
        <f t="shared" si="58"/>
        <v>101</v>
      </c>
      <c r="C303" s="7" t="s">
        <v>8</v>
      </c>
      <c r="D303" s="7" t="s">
        <v>9</v>
      </c>
      <c r="E303" s="7" t="str">
        <f>"李妹"</f>
        <v>李妹</v>
      </c>
      <c r="F303" s="7" t="str">
        <f t="shared" si="67"/>
        <v>女</v>
      </c>
      <c r="G303" s="7" t="s">
        <v>304</v>
      </c>
      <c r="H303" s="8"/>
    </row>
    <row r="304" ht="25" customHeight="1" spans="1:8">
      <c r="A304" s="6">
        <v>302</v>
      </c>
      <c r="B304" s="7" t="str">
        <f t="shared" si="58"/>
        <v>101</v>
      </c>
      <c r="C304" s="7" t="s">
        <v>8</v>
      </c>
      <c r="D304" s="7" t="s">
        <v>9</v>
      </c>
      <c r="E304" s="7" t="str">
        <f>"邱龙"</f>
        <v>邱龙</v>
      </c>
      <c r="F304" s="7" t="str">
        <f t="shared" ref="F304:F308" si="68">"男"</f>
        <v>男</v>
      </c>
      <c r="G304" s="7" t="s">
        <v>305</v>
      </c>
      <c r="H304" s="8"/>
    </row>
    <row r="305" ht="25" customHeight="1" spans="1:8">
      <c r="A305" s="6">
        <v>303</v>
      </c>
      <c r="B305" s="7" t="str">
        <f t="shared" si="58"/>
        <v>101</v>
      </c>
      <c r="C305" s="7" t="s">
        <v>8</v>
      </c>
      <c r="D305" s="7" t="s">
        <v>9</v>
      </c>
      <c r="E305" s="7" t="str">
        <f>"周丽莎"</f>
        <v>周丽莎</v>
      </c>
      <c r="F305" s="7" t="str">
        <f t="shared" ref="F305:F309" si="69">"女"</f>
        <v>女</v>
      </c>
      <c r="G305" s="7" t="s">
        <v>306</v>
      </c>
      <c r="H305" s="8"/>
    </row>
    <row r="306" ht="25" customHeight="1" spans="1:8">
      <c r="A306" s="6">
        <v>304</v>
      </c>
      <c r="B306" s="7" t="str">
        <f t="shared" si="58"/>
        <v>101</v>
      </c>
      <c r="C306" s="7" t="s">
        <v>8</v>
      </c>
      <c r="D306" s="7" t="s">
        <v>9</v>
      </c>
      <c r="E306" s="7" t="str">
        <f>"邵昕煜"</f>
        <v>邵昕煜</v>
      </c>
      <c r="F306" s="7" t="str">
        <f t="shared" si="68"/>
        <v>男</v>
      </c>
      <c r="G306" s="7" t="s">
        <v>307</v>
      </c>
      <c r="H306" s="8"/>
    </row>
    <row r="307" ht="25" customHeight="1" spans="1:8">
      <c r="A307" s="6">
        <v>305</v>
      </c>
      <c r="B307" s="7" t="str">
        <f t="shared" si="58"/>
        <v>101</v>
      </c>
      <c r="C307" s="7" t="s">
        <v>8</v>
      </c>
      <c r="D307" s="7" t="s">
        <v>9</v>
      </c>
      <c r="E307" s="7" t="str">
        <f>"陈滢"</f>
        <v>陈滢</v>
      </c>
      <c r="F307" s="7" t="str">
        <f t="shared" si="69"/>
        <v>女</v>
      </c>
      <c r="G307" s="7" t="s">
        <v>308</v>
      </c>
      <c r="H307" s="8"/>
    </row>
    <row r="308" ht="25" customHeight="1" spans="1:8">
      <c r="A308" s="6">
        <v>306</v>
      </c>
      <c r="B308" s="7" t="str">
        <f t="shared" si="58"/>
        <v>101</v>
      </c>
      <c r="C308" s="7" t="s">
        <v>8</v>
      </c>
      <c r="D308" s="7" t="s">
        <v>9</v>
      </c>
      <c r="E308" s="7" t="str">
        <f>"郭成"</f>
        <v>郭成</v>
      </c>
      <c r="F308" s="7" t="str">
        <f t="shared" si="68"/>
        <v>男</v>
      </c>
      <c r="G308" s="7" t="s">
        <v>309</v>
      </c>
      <c r="H308" s="8"/>
    </row>
    <row r="309" ht="25" customHeight="1" spans="1:8">
      <c r="A309" s="6">
        <v>307</v>
      </c>
      <c r="B309" s="7" t="str">
        <f t="shared" si="58"/>
        <v>101</v>
      </c>
      <c r="C309" s="7" t="s">
        <v>8</v>
      </c>
      <c r="D309" s="7" t="s">
        <v>9</v>
      </c>
      <c r="E309" s="7" t="str">
        <f>"黄小丽"</f>
        <v>黄小丽</v>
      </c>
      <c r="F309" s="7" t="str">
        <f t="shared" si="69"/>
        <v>女</v>
      </c>
      <c r="G309" s="7" t="s">
        <v>310</v>
      </c>
      <c r="H309" s="8"/>
    </row>
    <row r="310" ht="25" customHeight="1" spans="1:8">
      <c r="A310" s="6">
        <v>308</v>
      </c>
      <c r="B310" s="7" t="str">
        <f t="shared" si="58"/>
        <v>101</v>
      </c>
      <c r="C310" s="7" t="s">
        <v>8</v>
      </c>
      <c r="D310" s="7" t="s">
        <v>9</v>
      </c>
      <c r="E310" s="7" t="str">
        <f>"张恩祥"</f>
        <v>张恩祥</v>
      </c>
      <c r="F310" s="7" t="str">
        <f>"男"</f>
        <v>男</v>
      </c>
      <c r="G310" s="7" t="s">
        <v>311</v>
      </c>
      <c r="H310" s="8"/>
    </row>
    <row r="311" ht="25" customHeight="1" spans="1:8">
      <c r="A311" s="6">
        <v>309</v>
      </c>
      <c r="B311" s="7" t="str">
        <f t="shared" si="58"/>
        <v>101</v>
      </c>
      <c r="C311" s="7" t="s">
        <v>8</v>
      </c>
      <c r="D311" s="7" t="s">
        <v>9</v>
      </c>
      <c r="E311" s="7" t="str">
        <f>"刘金凤"</f>
        <v>刘金凤</v>
      </c>
      <c r="F311" s="7" t="str">
        <f t="shared" ref="F311:F314" si="70">"女"</f>
        <v>女</v>
      </c>
      <c r="G311" s="7" t="s">
        <v>312</v>
      </c>
      <c r="H311" s="8"/>
    </row>
    <row r="312" ht="25" customHeight="1" spans="1:8">
      <c r="A312" s="6">
        <v>310</v>
      </c>
      <c r="B312" s="7" t="str">
        <f t="shared" si="58"/>
        <v>101</v>
      </c>
      <c r="C312" s="7" t="s">
        <v>8</v>
      </c>
      <c r="D312" s="7" t="s">
        <v>9</v>
      </c>
      <c r="E312" s="7" t="str">
        <f>"李慧璠"</f>
        <v>李慧璠</v>
      </c>
      <c r="F312" s="7" t="str">
        <f t="shared" si="70"/>
        <v>女</v>
      </c>
      <c r="G312" s="7" t="s">
        <v>313</v>
      </c>
      <c r="H312" s="8"/>
    </row>
    <row r="313" ht="25" customHeight="1" spans="1:8">
      <c r="A313" s="6">
        <v>311</v>
      </c>
      <c r="B313" s="7" t="str">
        <f t="shared" si="58"/>
        <v>101</v>
      </c>
      <c r="C313" s="7" t="s">
        <v>8</v>
      </c>
      <c r="D313" s="7" t="s">
        <v>9</v>
      </c>
      <c r="E313" s="7" t="str">
        <f>"刘宁"</f>
        <v>刘宁</v>
      </c>
      <c r="F313" s="7" t="str">
        <f t="shared" si="70"/>
        <v>女</v>
      </c>
      <c r="G313" s="7" t="s">
        <v>314</v>
      </c>
      <c r="H313" s="8"/>
    </row>
    <row r="314" ht="25" customHeight="1" spans="1:8">
      <c r="A314" s="6">
        <v>312</v>
      </c>
      <c r="B314" s="7" t="str">
        <f t="shared" si="58"/>
        <v>101</v>
      </c>
      <c r="C314" s="7" t="s">
        <v>8</v>
      </c>
      <c r="D314" s="7" t="s">
        <v>9</v>
      </c>
      <c r="E314" s="7" t="str">
        <f>"黎经莹"</f>
        <v>黎经莹</v>
      </c>
      <c r="F314" s="7" t="str">
        <f t="shared" si="70"/>
        <v>女</v>
      </c>
      <c r="G314" s="7" t="s">
        <v>315</v>
      </c>
      <c r="H314" s="8"/>
    </row>
    <row r="315" ht="25" customHeight="1" spans="1:8">
      <c r="A315" s="6">
        <v>313</v>
      </c>
      <c r="B315" s="7" t="str">
        <f t="shared" si="58"/>
        <v>101</v>
      </c>
      <c r="C315" s="7" t="s">
        <v>8</v>
      </c>
      <c r="D315" s="7" t="s">
        <v>9</v>
      </c>
      <c r="E315" s="7" t="str">
        <f>"陈川翔"</f>
        <v>陈川翔</v>
      </c>
      <c r="F315" s="7" t="str">
        <f>"男"</f>
        <v>男</v>
      </c>
      <c r="G315" s="7" t="s">
        <v>316</v>
      </c>
      <c r="H315" s="8"/>
    </row>
    <row r="316" ht="25" customHeight="1" spans="1:8">
      <c r="A316" s="6">
        <v>314</v>
      </c>
      <c r="B316" s="7" t="str">
        <f t="shared" si="58"/>
        <v>101</v>
      </c>
      <c r="C316" s="7" t="s">
        <v>8</v>
      </c>
      <c r="D316" s="7" t="s">
        <v>9</v>
      </c>
      <c r="E316" s="7" t="str">
        <f>"曾德蕾"</f>
        <v>曾德蕾</v>
      </c>
      <c r="F316" s="7" t="str">
        <f t="shared" ref="F316:F320" si="71">"女"</f>
        <v>女</v>
      </c>
      <c r="G316" s="7" t="s">
        <v>317</v>
      </c>
      <c r="H316" s="8"/>
    </row>
    <row r="317" ht="25" customHeight="1" spans="1:8">
      <c r="A317" s="6">
        <v>315</v>
      </c>
      <c r="B317" s="7" t="str">
        <f t="shared" si="58"/>
        <v>101</v>
      </c>
      <c r="C317" s="7" t="s">
        <v>8</v>
      </c>
      <c r="D317" s="7" t="s">
        <v>9</v>
      </c>
      <c r="E317" s="7" t="str">
        <f>"杨舒喻"</f>
        <v>杨舒喻</v>
      </c>
      <c r="F317" s="7" t="str">
        <f t="shared" si="71"/>
        <v>女</v>
      </c>
      <c r="G317" s="7" t="s">
        <v>318</v>
      </c>
      <c r="H317" s="8"/>
    </row>
    <row r="318" ht="25" customHeight="1" spans="1:8">
      <c r="A318" s="6">
        <v>316</v>
      </c>
      <c r="B318" s="7" t="str">
        <f t="shared" si="58"/>
        <v>101</v>
      </c>
      <c r="C318" s="7" t="s">
        <v>8</v>
      </c>
      <c r="D318" s="7" t="s">
        <v>9</v>
      </c>
      <c r="E318" s="7" t="str">
        <f>"黄阳渊"</f>
        <v>黄阳渊</v>
      </c>
      <c r="F318" s="7" t="str">
        <f t="shared" ref="F318:F322" si="72">"男"</f>
        <v>男</v>
      </c>
      <c r="G318" s="7" t="s">
        <v>319</v>
      </c>
      <c r="H318" s="8"/>
    </row>
    <row r="319" ht="25" customHeight="1" spans="1:8">
      <c r="A319" s="6">
        <v>317</v>
      </c>
      <c r="B319" s="7" t="str">
        <f t="shared" si="58"/>
        <v>101</v>
      </c>
      <c r="C319" s="7" t="s">
        <v>8</v>
      </c>
      <c r="D319" s="7" t="s">
        <v>9</v>
      </c>
      <c r="E319" s="7" t="str">
        <f>"李俊佳"</f>
        <v>李俊佳</v>
      </c>
      <c r="F319" s="7" t="str">
        <f t="shared" si="71"/>
        <v>女</v>
      </c>
      <c r="G319" s="7" t="s">
        <v>320</v>
      </c>
      <c r="H319" s="8"/>
    </row>
    <row r="320" ht="25" customHeight="1" spans="1:8">
      <c r="A320" s="6">
        <v>318</v>
      </c>
      <c r="B320" s="7" t="str">
        <f t="shared" si="58"/>
        <v>101</v>
      </c>
      <c r="C320" s="7" t="s">
        <v>8</v>
      </c>
      <c r="D320" s="7" t="s">
        <v>9</v>
      </c>
      <c r="E320" s="7" t="str">
        <f>"何婷婷"</f>
        <v>何婷婷</v>
      </c>
      <c r="F320" s="7" t="str">
        <f t="shared" si="71"/>
        <v>女</v>
      </c>
      <c r="G320" s="7" t="s">
        <v>321</v>
      </c>
      <c r="H320" s="8"/>
    </row>
    <row r="321" ht="25" customHeight="1" spans="1:8">
      <c r="A321" s="6">
        <v>319</v>
      </c>
      <c r="B321" s="7" t="str">
        <f t="shared" si="58"/>
        <v>101</v>
      </c>
      <c r="C321" s="7" t="s">
        <v>8</v>
      </c>
      <c r="D321" s="7" t="s">
        <v>9</v>
      </c>
      <c r="E321" s="7" t="str">
        <f>"吴开烨"</f>
        <v>吴开烨</v>
      </c>
      <c r="F321" s="7" t="str">
        <f t="shared" si="72"/>
        <v>男</v>
      </c>
      <c r="G321" s="7" t="s">
        <v>322</v>
      </c>
      <c r="H321" s="8"/>
    </row>
    <row r="322" ht="25" customHeight="1" spans="1:8">
      <c r="A322" s="6">
        <v>320</v>
      </c>
      <c r="B322" s="7" t="str">
        <f t="shared" si="58"/>
        <v>101</v>
      </c>
      <c r="C322" s="7" t="s">
        <v>8</v>
      </c>
      <c r="D322" s="7" t="s">
        <v>9</v>
      </c>
      <c r="E322" s="7" t="str">
        <f>"李明哲"</f>
        <v>李明哲</v>
      </c>
      <c r="F322" s="7" t="str">
        <f t="shared" si="72"/>
        <v>男</v>
      </c>
      <c r="G322" s="7" t="s">
        <v>323</v>
      </c>
      <c r="H322" s="8"/>
    </row>
    <row r="323" ht="25" customHeight="1" spans="1:8">
      <c r="A323" s="6">
        <v>321</v>
      </c>
      <c r="B323" s="7" t="str">
        <f t="shared" ref="B323:B386" si="73">"101"</f>
        <v>101</v>
      </c>
      <c r="C323" s="7" t="s">
        <v>8</v>
      </c>
      <c r="D323" s="7" t="s">
        <v>9</v>
      </c>
      <c r="E323" s="7" t="str">
        <f>"陈婵"</f>
        <v>陈婵</v>
      </c>
      <c r="F323" s="7" t="str">
        <f t="shared" ref="F323:F326" si="74">"女"</f>
        <v>女</v>
      </c>
      <c r="G323" s="7" t="s">
        <v>174</v>
      </c>
      <c r="H323" s="8"/>
    </row>
    <row r="324" ht="25" customHeight="1" spans="1:8">
      <c r="A324" s="6">
        <v>322</v>
      </c>
      <c r="B324" s="7" t="str">
        <f t="shared" si="73"/>
        <v>101</v>
      </c>
      <c r="C324" s="7" t="s">
        <v>8</v>
      </c>
      <c r="D324" s="7" t="s">
        <v>9</v>
      </c>
      <c r="E324" s="7" t="str">
        <f>"邹蓓 "</f>
        <v>邹蓓 </v>
      </c>
      <c r="F324" s="7" t="str">
        <f t="shared" si="74"/>
        <v>女</v>
      </c>
      <c r="G324" s="7" t="s">
        <v>324</v>
      </c>
      <c r="H324" s="8"/>
    </row>
    <row r="325" ht="25" customHeight="1" spans="1:8">
      <c r="A325" s="6">
        <v>323</v>
      </c>
      <c r="B325" s="7" t="str">
        <f t="shared" si="73"/>
        <v>101</v>
      </c>
      <c r="C325" s="7" t="s">
        <v>8</v>
      </c>
      <c r="D325" s="7" t="s">
        <v>9</v>
      </c>
      <c r="E325" s="7" t="str">
        <f>"林子婷"</f>
        <v>林子婷</v>
      </c>
      <c r="F325" s="7" t="str">
        <f t="shared" si="74"/>
        <v>女</v>
      </c>
      <c r="G325" s="7" t="s">
        <v>325</v>
      </c>
      <c r="H325" s="8"/>
    </row>
    <row r="326" ht="25" customHeight="1" spans="1:8">
      <c r="A326" s="6">
        <v>324</v>
      </c>
      <c r="B326" s="7" t="str">
        <f t="shared" si="73"/>
        <v>101</v>
      </c>
      <c r="C326" s="7" t="s">
        <v>8</v>
      </c>
      <c r="D326" s="7" t="s">
        <v>9</v>
      </c>
      <c r="E326" s="7" t="str">
        <f>"韦羽"</f>
        <v>韦羽</v>
      </c>
      <c r="F326" s="7" t="str">
        <f t="shared" si="74"/>
        <v>女</v>
      </c>
      <c r="G326" s="7" t="s">
        <v>326</v>
      </c>
      <c r="H326" s="8"/>
    </row>
    <row r="327" ht="25" customHeight="1" spans="1:8">
      <c r="A327" s="6">
        <v>325</v>
      </c>
      <c r="B327" s="7" t="str">
        <f t="shared" si="73"/>
        <v>101</v>
      </c>
      <c r="C327" s="7" t="s">
        <v>8</v>
      </c>
      <c r="D327" s="7" t="s">
        <v>9</v>
      </c>
      <c r="E327" s="7" t="str">
        <f>"谭克"</f>
        <v>谭克</v>
      </c>
      <c r="F327" s="7" t="str">
        <f>"男"</f>
        <v>男</v>
      </c>
      <c r="G327" s="7" t="s">
        <v>327</v>
      </c>
      <c r="H327" s="8"/>
    </row>
    <row r="328" ht="25" customHeight="1" spans="1:8">
      <c r="A328" s="6">
        <v>326</v>
      </c>
      <c r="B328" s="7" t="str">
        <f t="shared" si="73"/>
        <v>101</v>
      </c>
      <c r="C328" s="7" t="s">
        <v>8</v>
      </c>
      <c r="D328" s="7" t="s">
        <v>9</v>
      </c>
      <c r="E328" s="7" t="str">
        <f>"罗倩"</f>
        <v>罗倩</v>
      </c>
      <c r="F328" s="7" t="str">
        <f t="shared" ref="F328:F330" si="75">"女"</f>
        <v>女</v>
      </c>
      <c r="G328" s="7" t="s">
        <v>328</v>
      </c>
      <c r="H328" s="8"/>
    </row>
    <row r="329" ht="25" customHeight="1" spans="1:8">
      <c r="A329" s="6">
        <v>327</v>
      </c>
      <c r="B329" s="7" t="str">
        <f t="shared" si="73"/>
        <v>101</v>
      </c>
      <c r="C329" s="7" t="s">
        <v>8</v>
      </c>
      <c r="D329" s="7" t="s">
        <v>9</v>
      </c>
      <c r="E329" s="7" t="str">
        <f>"盛昕怡"</f>
        <v>盛昕怡</v>
      </c>
      <c r="F329" s="7" t="str">
        <f t="shared" si="75"/>
        <v>女</v>
      </c>
      <c r="G329" s="7" t="s">
        <v>329</v>
      </c>
      <c r="H329" s="8"/>
    </row>
    <row r="330" ht="25" customHeight="1" spans="1:8">
      <c r="A330" s="6">
        <v>328</v>
      </c>
      <c r="B330" s="7" t="str">
        <f t="shared" si="73"/>
        <v>101</v>
      </c>
      <c r="C330" s="7" t="s">
        <v>8</v>
      </c>
      <c r="D330" s="7" t="s">
        <v>9</v>
      </c>
      <c r="E330" s="7" t="str">
        <f>"殷礼惠"</f>
        <v>殷礼惠</v>
      </c>
      <c r="F330" s="7" t="str">
        <f t="shared" si="75"/>
        <v>女</v>
      </c>
      <c r="G330" s="7" t="s">
        <v>330</v>
      </c>
      <c r="H330" s="8"/>
    </row>
    <row r="331" ht="25" customHeight="1" spans="1:8">
      <c r="A331" s="6">
        <v>329</v>
      </c>
      <c r="B331" s="7" t="str">
        <f t="shared" si="73"/>
        <v>101</v>
      </c>
      <c r="C331" s="7" t="s">
        <v>8</v>
      </c>
      <c r="D331" s="7" t="s">
        <v>9</v>
      </c>
      <c r="E331" s="7" t="str">
        <f>"王金福"</f>
        <v>王金福</v>
      </c>
      <c r="F331" s="7" t="str">
        <f>"男"</f>
        <v>男</v>
      </c>
      <c r="G331" s="7" t="s">
        <v>331</v>
      </c>
      <c r="H331" s="8"/>
    </row>
    <row r="332" ht="25" customHeight="1" spans="1:8">
      <c r="A332" s="6">
        <v>330</v>
      </c>
      <c r="B332" s="7" t="str">
        <f t="shared" si="73"/>
        <v>101</v>
      </c>
      <c r="C332" s="7" t="s">
        <v>8</v>
      </c>
      <c r="D332" s="7" t="s">
        <v>9</v>
      </c>
      <c r="E332" s="7" t="str">
        <f>"邢孔香"</f>
        <v>邢孔香</v>
      </c>
      <c r="F332" s="7" t="str">
        <f t="shared" ref="F332:F338" si="76">"女"</f>
        <v>女</v>
      </c>
      <c r="G332" s="7" t="s">
        <v>332</v>
      </c>
      <c r="H332" s="8"/>
    </row>
    <row r="333" ht="25" customHeight="1" spans="1:8">
      <c r="A333" s="6">
        <v>331</v>
      </c>
      <c r="B333" s="7" t="str">
        <f t="shared" si="73"/>
        <v>101</v>
      </c>
      <c r="C333" s="7" t="s">
        <v>8</v>
      </c>
      <c r="D333" s="7" t="s">
        <v>9</v>
      </c>
      <c r="E333" s="7" t="str">
        <f>"许婉东"</f>
        <v>许婉东</v>
      </c>
      <c r="F333" s="7" t="str">
        <f>"男"</f>
        <v>男</v>
      </c>
      <c r="G333" s="7" t="s">
        <v>333</v>
      </c>
      <c r="H333" s="8"/>
    </row>
    <row r="334" ht="25" customHeight="1" spans="1:8">
      <c r="A334" s="6">
        <v>332</v>
      </c>
      <c r="B334" s="7" t="str">
        <f t="shared" si="73"/>
        <v>101</v>
      </c>
      <c r="C334" s="7" t="s">
        <v>8</v>
      </c>
      <c r="D334" s="7" t="s">
        <v>9</v>
      </c>
      <c r="E334" s="7" t="str">
        <f>"林鲜"</f>
        <v>林鲜</v>
      </c>
      <c r="F334" s="7" t="str">
        <f t="shared" si="76"/>
        <v>女</v>
      </c>
      <c r="G334" s="7" t="s">
        <v>334</v>
      </c>
      <c r="H334" s="8"/>
    </row>
    <row r="335" ht="25" customHeight="1" spans="1:8">
      <c r="A335" s="6">
        <v>333</v>
      </c>
      <c r="B335" s="7" t="str">
        <f t="shared" si="73"/>
        <v>101</v>
      </c>
      <c r="C335" s="7" t="s">
        <v>8</v>
      </c>
      <c r="D335" s="7" t="s">
        <v>9</v>
      </c>
      <c r="E335" s="7" t="str">
        <f>"姚常利"</f>
        <v>姚常利</v>
      </c>
      <c r="F335" s="7" t="str">
        <f t="shared" si="76"/>
        <v>女</v>
      </c>
      <c r="G335" s="7" t="s">
        <v>335</v>
      </c>
      <c r="H335" s="8"/>
    </row>
    <row r="336" ht="25" customHeight="1" spans="1:8">
      <c r="A336" s="6">
        <v>334</v>
      </c>
      <c r="B336" s="7" t="str">
        <f t="shared" si="73"/>
        <v>101</v>
      </c>
      <c r="C336" s="7" t="s">
        <v>8</v>
      </c>
      <c r="D336" s="7" t="s">
        <v>9</v>
      </c>
      <c r="E336" s="7" t="str">
        <f>"邱颖"</f>
        <v>邱颖</v>
      </c>
      <c r="F336" s="7" t="str">
        <f t="shared" si="76"/>
        <v>女</v>
      </c>
      <c r="G336" s="7" t="s">
        <v>336</v>
      </c>
      <c r="H336" s="8"/>
    </row>
    <row r="337" ht="25" customHeight="1" spans="1:8">
      <c r="A337" s="6">
        <v>335</v>
      </c>
      <c r="B337" s="7" t="str">
        <f t="shared" si="73"/>
        <v>101</v>
      </c>
      <c r="C337" s="7" t="s">
        <v>8</v>
      </c>
      <c r="D337" s="7" t="s">
        <v>9</v>
      </c>
      <c r="E337" s="7" t="str">
        <f>"罗嘉佳"</f>
        <v>罗嘉佳</v>
      </c>
      <c r="F337" s="7" t="str">
        <f t="shared" si="76"/>
        <v>女</v>
      </c>
      <c r="G337" s="7" t="s">
        <v>337</v>
      </c>
      <c r="H337" s="8"/>
    </row>
    <row r="338" ht="25" customHeight="1" spans="1:8">
      <c r="A338" s="6">
        <v>336</v>
      </c>
      <c r="B338" s="7" t="str">
        <f t="shared" si="73"/>
        <v>101</v>
      </c>
      <c r="C338" s="7" t="s">
        <v>8</v>
      </c>
      <c r="D338" s="7" t="s">
        <v>9</v>
      </c>
      <c r="E338" s="7" t="str">
        <f>"黄贻红"</f>
        <v>黄贻红</v>
      </c>
      <c r="F338" s="7" t="str">
        <f t="shared" si="76"/>
        <v>女</v>
      </c>
      <c r="G338" s="7" t="s">
        <v>338</v>
      </c>
      <c r="H338" s="8"/>
    </row>
    <row r="339" ht="25" customHeight="1" spans="1:8">
      <c r="A339" s="6">
        <v>337</v>
      </c>
      <c r="B339" s="7" t="str">
        <f t="shared" si="73"/>
        <v>101</v>
      </c>
      <c r="C339" s="7" t="s">
        <v>8</v>
      </c>
      <c r="D339" s="7" t="s">
        <v>9</v>
      </c>
      <c r="E339" s="7" t="str">
        <f>"杨森灿"</f>
        <v>杨森灿</v>
      </c>
      <c r="F339" s="7" t="str">
        <f>"男"</f>
        <v>男</v>
      </c>
      <c r="G339" s="7" t="s">
        <v>339</v>
      </c>
      <c r="H339" s="8"/>
    </row>
    <row r="340" ht="25" customHeight="1" spans="1:8">
      <c r="A340" s="6">
        <v>338</v>
      </c>
      <c r="B340" s="7" t="str">
        <f t="shared" si="73"/>
        <v>101</v>
      </c>
      <c r="C340" s="7" t="s">
        <v>8</v>
      </c>
      <c r="D340" s="7" t="s">
        <v>9</v>
      </c>
      <c r="E340" s="7" t="str">
        <f>"潘少俐"</f>
        <v>潘少俐</v>
      </c>
      <c r="F340" s="7" t="str">
        <f t="shared" ref="F340:F342" si="77">"女"</f>
        <v>女</v>
      </c>
      <c r="G340" s="7" t="s">
        <v>340</v>
      </c>
      <c r="H340" s="8"/>
    </row>
    <row r="341" ht="25" customHeight="1" spans="1:8">
      <c r="A341" s="6">
        <v>339</v>
      </c>
      <c r="B341" s="7" t="str">
        <f t="shared" si="73"/>
        <v>101</v>
      </c>
      <c r="C341" s="7" t="s">
        <v>8</v>
      </c>
      <c r="D341" s="7" t="s">
        <v>9</v>
      </c>
      <c r="E341" s="7" t="str">
        <f>"卢定完"</f>
        <v>卢定完</v>
      </c>
      <c r="F341" s="7" t="str">
        <f t="shared" si="77"/>
        <v>女</v>
      </c>
      <c r="G341" s="7" t="s">
        <v>341</v>
      </c>
      <c r="H341" s="8"/>
    </row>
    <row r="342" ht="25" customHeight="1" spans="1:8">
      <c r="A342" s="6">
        <v>340</v>
      </c>
      <c r="B342" s="7" t="str">
        <f t="shared" si="73"/>
        <v>101</v>
      </c>
      <c r="C342" s="7" t="s">
        <v>8</v>
      </c>
      <c r="D342" s="7" t="s">
        <v>9</v>
      </c>
      <c r="E342" s="7" t="str">
        <f>"朱小敏"</f>
        <v>朱小敏</v>
      </c>
      <c r="F342" s="7" t="str">
        <f t="shared" si="77"/>
        <v>女</v>
      </c>
      <c r="G342" s="7" t="s">
        <v>342</v>
      </c>
      <c r="H342" s="8"/>
    </row>
    <row r="343" ht="25" customHeight="1" spans="1:8">
      <c r="A343" s="6">
        <v>341</v>
      </c>
      <c r="B343" s="7" t="str">
        <f t="shared" si="73"/>
        <v>101</v>
      </c>
      <c r="C343" s="7" t="s">
        <v>8</v>
      </c>
      <c r="D343" s="7" t="s">
        <v>9</v>
      </c>
      <c r="E343" s="7" t="str">
        <f>"黄泽文"</f>
        <v>黄泽文</v>
      </c>
      <c r="F343" s="7" t="str">
        <f>"男"</f>
        <v>男</v>
      </c>
      <c r="G343" s="7" t="s">
        <v>193</v>
      </c>
      <c r="H343" s="8"/>
    </row>
    <row r="344" ht="25" customHeight="1" spans="1:8">
      <c r="A344" s="6">
        <v>342</v>
      </c>
      <c r="B344" s="7" t="str">
        <f t="shared" si="73"/>
        <v>101</v>
      </c>
      <c r="C344" s="7" t="s">
        <v>8</v>
      </c>
      <c r="D344" s="7" t="s">
        <v>9</v>
      </c>
      <c r="E344" s="7" t="str">
        <f>"王永玉"</f>
        <v>王永玉</v>
      </c>
      <c r="F344" s="7" t="str">
        <f t="shared" ref="F344:F346" si="78">"女"</f>
        <v>女</v>
      </c>
      <c r="G344" s="7" t="s">
        <v>343</v>
      </c>
      <c r="H344" s="8"/>
    </row>
    <row r="345" ht="25" customHeight="1" spans="1:8">
      <c r="A345" s="6">
        <v>343</v>
      </c>
      <c r="B345" s="7" t="str">
        <f t="shared" si="73"/>
        <v>101</v>
      </c>
      <c r="C345" s="7" t="s">
        <v>8</v>
      </c>
      <c r="D345" s="7" t="s">
        <v>9</v>
      </c>
      <c r="E345" s="7" t="str">
        <f>"赵婉莉"</f>
        <v>赵婉莉</v>
      </c>
      <c r="F345" s="7" t="str">
        <f t="shared" si="78"/>
        <v>女</v>
      </c>
      <c r="G345" s="7" t="s">
        <v>344</v>
      </c>
      <c r="H345" s="8"/>
    </row>
    <row r="346" ht="25" customHeight="1" spans="1:8">
      <c r="A346" s="6">
        <v>344</v>
      </c>
      <c r="B346" s="7" t="str">
        <f t="shared" si="73"/>
        <v>101</v>
      </c>
      <c r="C346" s="7" t="s">
        <v>8</v>
      </c>
      <c r="D346" s="7" t="s">
        <v>9</v>
      </c>
      <c r="E346" s="7" t="str">
        <f>"董晓玲"</f>
        <v>董晓玲</v>
      </c>
      <c r="F346" s="7" t="str">
        <f t="shared" si="78"/>
        <v>女</v>
      </c>
      <c r="G346" s="7" t="s">
        <v>345</v>
      </c>
      <c r="H346" s="8"/>
    </row>
    <row r="347" ht="25" customHeight="1" spans="1:8">
      <c r="A347" s="6">
        <v>345</v>
      </c>
      <c r="B347" s="7" t="str">
        <f t="shared" si="73"/>
        <v>101</v>
      </c>
      <c r="C347" s="7" t="s">
        <v>8</v>
      </c>
      <c r="D347" s="7" t="s">
        <v>9</v>
      </c>
      <c r="E347" s="7" t="str">
        <f>"蔡晓伟"</f>
        <v>蔡晓伟</v>
      </c>
      <c r="F347" s="7" t="str">
        <f>"男"</f>
        <v>男</v>
      </c>
      <c r="G347" s="7" t="s">
        <v>346</v>
      </c>
      <c r="H347" s="8"/>
    </row>
    <row r="348" ht="25" customHeight="1" spans="1:8">
      <c r="A348" s="6">
        <v>346</v>
      </c>
      <c r="B348" s="7" t="str">
        <f t="shared" si="73"/>
        <v>101</v>
      </c>
      <c r="C348" s="7" t="s">
        <v>8</v>
      </c>
      <c r="D348" s="7" t="s">
        <v>9</v>
      </c>
      <c r="E348" s="7" t="str">
        <f>"卢曼"</f>
        <v>卢曼</v>
      </c>
      <c r="F348" s="7" t="str">
        <f t="shared" ref="F348:F350" si="79">"女"</f>
        <v>女</v>
      </c>
      <c r="G348" s="7" t="s">
        <v>304</v>
      </c>
      <c r="H348" s="8"/>
    </row>
    <row r="349" ht="25" customHeight="1" spans="1:8">
      <c r="A349" s="6">
        <v>347</v>
      </c>
      <c r="B349" s="7" t="str">
        <f t="shared" si="73"/>
        <v>101</v>
      </c>
      <c r="C349" s="7" t="s">
        <v>8</v>
      </c>
      <c r="D349" s="7" t="s">
        <v>9</v>
      </c>
      <c r="E349" s="7" t="str">
        <f>"陈中莲"</f>
        <v>陈中莲</v>
      </c>
      <c r="F349" s="7" t="str">
        <f t="shared" si="79"/>
        <v>女</v>
      </c>
      <c r="G349" s="7" t="s">
        <v>347</v>
      </c>
      <c r="H349" s="8"/>
    </row>
    <row r="350" ht="25" customHeight="1" spans="1:8">
      <c r="A350" s="6">
        <v>348</v>
      </c>
      <c r="B350" s="7" t="str">
        <f t="shared" si="73"/>
        <v>101</v>
      </c>
      <c r="C350" s="7" t="s">
        <v>8</v>
      </c>
      <c r="D350" s="7" t="s">
        <v>9</v>
      </c>
      <c r="E350" s="7" t="str">
        <f>"李启娇"</f>
        <v>李启娇</v>
      </c>
      <c r="F350" s="7" t="str">
        <f t="shared" si="79"/>
        <v>女</v>
      </c>
      <c r="G350" s="7" t="s">
        <v>348</v>
      </c>
      <c r="H350" s="8"/>
    </row>
    <row r="351" ht="25" customHeight="1" spans="1:8">
      <c r="A351" s="6">
        <v>349</v>
      </c>
      <c r="B351" s="7" t="str">
        <f t="shared" si="73"/>
        <v>101</v>
      </c>
      <c r="C351" s="7" t="s">
        <v>8</v>
      </c>
      <c r="D351" s="7" t="s">
        <v>9</v>
      </c>
      <c r="E351" s="7" t="str">
        <f>"王政基"</f>
        <v>王政基</v>
      </c>
      <c r="F351" s="7" t="str">
        <f>"男"</f>
        <v>男</v>
      </c>
      <c r="G351" s="7" t="s">
        <v>349</v>
      </c>
      <c r="H351" s="8"/>
    </row>
    <row r="352" ht="25" customHeight="1" spans="1:8">
      <c r="A352" s="6">
        <v>350</v>
      </c>
      <c r="B352" s="7" t="str">
        <f t="shared" si="73"/>
        <v>101</v>
      </c>
      <c r="C352" s="7" t="s">
        <v>8</v>
      </c>
      <c r="D352" s="7" t="s">
        <v>9</v>
      </c>
      <c r="E352" s="7" t="str">
        <f>"郑孟欣"</f>
        <v>郑孟欣</v>
      </c>
      <c r="F352" s="7" t="str">
        <f t="shared" ref="F352:F359" si="80">"女"</f>
        <v>女</v>
      </c>
      <c r="G352" s="7" t="s">
        <v>350</v>
      </c>
      <c r="H352" s="8"/>
    </row>
    <row r="353" ht="25" customHeight="1" spans="1:8">
      <c r="A353" s="6">
        <v>351</v>
      </c>
      <c r="B353" s="7" t="str">
        <f t="shared" si="73"/>
        <v>101</v>
      </c>
      <c r="C353" s="7" t="s">
        <v>8</v>
      </c>
      <c r="D353" s="7" t="s">
        <v>9</v>
      </c>
      <c r="E353" s="7" t="str">
        <f>"王克燕"</f>
        <v>王克燕</v>
      </c>
      <c r="F353" s="7" t="str">
        <f t="shared" si="80"/>
        <v>女</v>
      </c>
      <c r="G353" s="7" t="s">
        <v>351</v>
      </c>
      <c r="H353" s="8"/>
    </row>
    <row r="354" ht="25" customHeight="1" spans="1:8">
      <c r="A354" s="6">
        <v>352</v>
      </c>
      <c r="B354" s="7" t="str">
        <f t="shared" si="73"/>
        <v>101</v>
      </c>
      <c r="C354" s="7" t="s">
        <v>8</v>
      </c>
      <c r="D354" s="7" t="s">
        <v>9</v>
      </c>
      <c r="E354" s="7" t="str">
        <f>"黄海莹"</f>
        <v>黄海莹</v>
      </c>
      <c r="F354" s="7" t="str">
        <f t="shared" si="80"/>
        <v>女</v>
      </c>
      <c r="G354" s="7" t="s">
        <v>326</v>
      </c>
      <c r="H354" s="8"/>
    </row>
    <row r="355" ht="25" customHeight="1" spans="1:8">
      <c r="A355" s="6">
        <v>353</v>
      </c>
      <c r="B355" s="7" t="str">
        <f t="shared" si="73"/>
        <v>101</v>
      </c>
      <c r="C355" s="7" t="s">
        <v>8</v>
      </c>
      <c r="D355" s="7" t="s">
        <v>9</v>
      </c>
      <c r="E355" s="7" t="str">
        <f>"黄蕊"</f>
        <v>黄蕊</v>
      </c>
      <c r="F355" s="7" t="str">
        <f t="shared" si="80"/>
        <v>女</v>
      </c>
      <c r="G355" s="7" t="s">
        <v>352</v>
      </c>
      <c r="H355" s="8"/>
    </row>
    <row r="356" ht="25" customHeight="1" spans="1:8">
      <c r="A356" s="6">
        <v>354</v>
      </c>
      <c r="B356" s="7" t="str">
        <f t="shared" si="73"/>
        <v>101</v>
      </c>
      <c r="C356" s="7" t="s">
        <v>8</v>
      </c>
      <c r="D356" s="7" t="s">
        <v>9</v>
      </c>
      <c r="E356" s="7" t="str">
        <f>"李子葵"</f>
        <v>李子葵</v>
      </c>
      <c r="F356" s="7" t="str">
        <f t="shared" si="80"/>
        <v>女</v>
      </c>
      <c r="G356" s="7" t="s">
        <v>353</v>
      </c>
      <c r="H356" s="8"/>
    </row>
    <row r="357" ht="25" customHeight="1" spans="1:8">
      <c r="A357" s="6">
        <v>355</v>
      </c>
      <c r="B357" s="7" t="str">
        <f t="shared" si="73"/>
        <v>101</v>
      </c>
      <c r="C357" s="7" t="s">
        <v>8</v>
      </c>
      <c r="D357" s="7" t="s">
        <v>9</v>
      </c>
      <c r="E357" s="7" t="str">
        <f>"符艺言"</f>
        <v>符艺言</v>
      </c>
      <c r="F357" s="7" t="str">
        <f t="shared" si="80"/>
        <v>女</v>
      </c>
      <c r="G357" s="7" t="s">
        <v>354</v>
      </c>
      <c r="H357" s="8"/>
    </row>
    <row r="358" ht="25" customHeight="1" spans="1:8">
      <c r="A358" s="6">
        <v>356</v>
      </c>
      <c r="B358" s="7" t="str">
        <f t="shared" si="73"/>
        <v>101</v>
      </c>
      <c r="C358" s="7" t="s">
        <v>8</v>
      </c>
      <c r="D358" s="7" t="s">
        <v>9</v>
      </c>
      <c r="E358" s="7" t="str">
        <f>"刘庆"</f>
        <v>刘庆</v>
      </c>
      <c r="F358" s="7" t="str">
        <f t="shared" si="80"/>
        <v>女</v>
      </c>
      <c r="G358" s="7" t="s">
        <v>355</v>
      </c>
      <c r="H358" s="8"/>
    </row>
    <row r="359" ht="25" customHeight="1" spans="1:8">
      <c r="A359" s="6">
        <v>357</v>
      </c>
      <c r="B359" s="7" t="str">
        <f t="shared" si="73"/>
        <v>101</v>
      </c>
      <c r="C359" s="7" t="s">
        <v>8</v>
      </c>
      <c r="D359" s="7" t="s">
        <v>9</v>
      </c>
      <c r="E359" s="7" t="str">
        <f>"谢碧桑"</f>
        <v>谢碧桑</v>
      </c>
      <c r="F359" s="7" t="str">
        <f t="shared" si="80"/>
        <v>女</v>
      </c>
      <c r="G359" s="7" t="s">
        <v>356</v>
      </c>
      <c r="H359" s="8"/>
    </row>
    <row r="360" ht="25" customHeight="1" spans="1:8">
      <c r="A360" s="6">
        <v>358</v>
      </c>
      <c r="B360" s="7" t="str">
        <f t="shared" si="73"/>
        <v>101</v>
      </c>
      <c r="C360" s="7" t="s">
        <v>8</v>
      </c>
      <c r="D360" s="7" t="s">
        <v>9</v>
      </c>
      <c r="E360" s="7" t="str">
        <f>"余博毅"</f>
        <v>余博毅</v>
      </c>
      <c r="F360" s="7" t="str">
        <f t="shared" ref="F360:F364" si="81">"男"</f>
        <v>男</v>
      </c>
      <c r="G360" s="7" t="s">
        <v>357</v>
      </c>
      <c r="H360" s="8"/>
    </row>
    <row r="361" ht="25" customHeight="1" spans="1:8">
      <c r="A361" s="6">
        <v>359</v>
      </c>
      <c r="B361" s="7" t="str">
        <f t="shared" si="73"/>
        <v>101</v>
      </c>
      <c r="C361" s="7" t="s">
        <v>8</v>
      </c>
      <c r="D361" s="7" t="s">
        <v>9</v>
      </c>
      <c r="E361" s="7" t="str">
        <f>"李书凡"</f>
        <v>李书凡</v>
      </c>
      <c r="F361" s="7" t="str">
        <f t="shared" si="81"/>
        <v>男</v>
      </c>
      <c r="G361" s="7" t="s">
        <v>358</v>
      </c>
      <c r="H361" s="8"/>
    </row>
    <row r="362" ht="25" customHeight="1" spans="1:8">
      <c r="A362" s="6">
        <v>360</v>
      </c>
      <c r="B362" s="7" t="str">
        <f t="shared" si="73"/>
        <v>101</v>
      </c>
      <c r="C362" s="7" t="s">
        <v>8</v>
      </c>
      <c r="D362" s="7" t="s">
        <v>9</v>
      </c>
      <c r="E362" s="7" t="str">
        <f>"穆莉"</f>
        <v>穆莉</v>
      </c>
      <c r="F362" s="7" t="str">
        <f t="shared" ref="F362:F366" si="82">"女"</f>
        <v>女</v>
      </c>
      <c r="G362" s="7" t="s">
        <v>359</v>
      </c>
      <c r="H362" s="8"/>
    </row>
    <row r="363" ht="25" customHeight="1" spans="1:8">
      <c r="A363" s="6">
        <v>361</v>
      </c>
      <c r="B363" s="7" t="str">
        <f t="shared" si="73"/>
        <v>101</v>
      </c>
      <c r="C363" s="7" t="s">
        <v>8</v>
      </c>
      <c r="D363" s="7" t="s">
        <v>9</v>
      </c>
      <c r="E363" s="7" t="str">
        <f>"董文杰"</f>
        <v>董文杰</v>
      </c>
      <c r="F363" s="7" t="str">
        <f t="shared" si="81"/>
        <v>男</v>
      </c>
      <c r="G363" s="7" t="s">
        <v>360</v>
      </c>
      <c r="H363" s="8"/>
    </row>
    <row r="364" ht="25" customHeight="1" spans="1:8">
      <c r="A364" s="6">
        <v>362</v>
      </c>
      <c r="B364" s="7" t="str">
        <f t="shared" si="73"/>
        <v>101</v>
      </c>
      <c r="C364" s="7" t="s">
        <v>8</v>
      </c>
      <c r="D364" s="7" t="s">
        <v>9</v>
      </c>
      <c r="E364" s="7" t="str">
        <f>"谭遥"</f>
        <v>谭遥</v>
      </c>
      <c r="F364" s="7" t="str">
        <f t="shared" si="81"/>
        <v>男</v>
      </c>
      <c r="G364" s="7" t="s">
        <v>361</v>
      </c>
      <c r="H364" s="8"/>
    </row>
    <row r="365" ht="25" customHeight="1" spans="1:8">
      <c r="A365" s="6">
        <v>363</v>
      </c>
      <c r="B365" s="7" t="str">
        <f t="shared" si="73"/>
        <v>101</v>
      </c>
      <c r="C365" s="7" t="s">
        <v>8</v>
      </c>
      <c r="D365" s="7" t="s">
        <v>9</v>
      </c>
      <c r="E365" s="7" t="str">
        <f>"黄静柔"</f>
        <v>黄静柔</v>
      </c>
      <c r="F365" s="7" t="str">
        <f t="shared" si="82"/>
        <v>女</v>
      </c>
      <c r="G365" s="7" t="s">
        <v>362</v>
      </c>
      <c r="H365" s="8"/>
    </row>
    <row r="366" ht="25" customHeight="1" spans="1:8">
      <c r="A366" s="6">
        <v>364</v>
      </c>
      <c r="B366" s="7" t="str">
        <f t="shared" si="73"/>
        <v>101</v>
      </c>
      <c r="C366" s="7" t="s">
        <v>8</v>
      </c>
      <c r="D366" s="7" t="s">
        <v>9</v>
      </c>
      <c r="E366" s="7" t="str">
        <f>"魏昕怡"</f>
        <v>魏昕怡</v>
      </c>
      <c r="F366" s="7" t="str">
        <f t="shared" si="82"/>
        <v>女</v>
      </c>
      <c r="G366" s="7" t="s">
        <v>363</v>
      </c>
      <c r="H366" s="8"/>
    </row>
    <row r="367" ht="25" customHeight="1" spans="1:8">
      <c r="A367" s="6">
        <v>365</v>
      </c>
      <c r="B367" s="7" t="str">
        <f t="shared" si="73"/>
        <v>101</v>
      </c>
      <c r="C367" s="7" t="s">
        <v>8</v>
      </c>
      <c r="D367" s="7" t="s">
        <v>9</v>
      </c>
      <c r="E367" s="7" t="str">
        <f>"陈家鹏"</f>
        <v>陈家鹏</v>
      </c>
      <c r="F367" s="7" t="str">
        <f>"男"</f>
        <v>男</v>
      </c>
      <c r="G367" s="7" t="s">
        <v>364</v>
      </c>
      <c r="H367" s="8"/>
    </row>
    <row r="368" ht="25" customHeight="1" spans="1:8">
      <c r="A368" s="6">
        <v>366</v>
      </c>
      <c r="B368" s="7" t="str">
        <f t="shared" si="73"/>
        <v>101</v>
      </c>
      <c r="C368" s="7" t="s">
        <v>8</v>
      </c>
      <c r="D368" s="7" t="s">
        <v>9</v>
      </c>
      <c r="E368" s="7" t="str">
        <f>"屈梦怡"</f>
        <v>屈梦怡</v>
      </c>
      <c r="F368" s="7" t="str">
        <f t="shared" ref="F368:F372" si="83">"女"</f>
        <v>女</v>
      </c>
      <c r="G368" s="7" t="s">
        <v>365</v>
      </c>
      <c r="H368" s="8"/>
    </row>
    <row r="369" ht="25" customHeight="1" spans="1:8">
      <c r="A369" s="6">
        <v>367</v>
      </c>
      <c r="B369" s="7" t="str">
        <f t="shared" si="73"/>
        <v>101</v>
      </c>
      <c r="C369" s="7" t="s">
        <v>8</v>
      </c>
      <c r="D369" s="7" t="s">
        <v>9</v>
      </c>
      <c r="E369" s="7" t="str">
        <f>"邱忠武"</f>
        <v>邱忠武</v>
      </c>
      <c r="F369" s="7" t="str">
        <f>"男"</f>
        <v>男</v>
      </c>
      <c r="G369" s="7" t="s">
        <v>366</v>
      </c>
      <c r="H369" s="8"/>
    </row>
    <row r="370" ht="25" customHeight="1" spans="1:8">
      <c r="A370" s="6">
        <v>368</v>
      </c>
      <c r="B370" s="7" t="str">
        <f t="shared" si="73"/>
        <v>101</v>
      </c>
      <c r="C370" s="7" t="s">
        <v>8</v>
      </c>
      <c r="D370" s="7" t="s">
        <v>9</v>
      </c>
      <c r="E370" s="7" t="str">
        <f>"陈盈伊"</f>
        <v>陈盈伊</v>
      </c>
      <c r="F370" s="7" t="str">
        <f t="shared" si="83"/>
        <v>女</v>
      </c>
      <c r="G370" s="7" t="s">
        <v>367</v>
      </c>
      <c r="H370" s="8"/>
    </row>
    <row r="371" ht="25" customHeight="1" spans="1:8">
      <c r="A371" s="6">
        <v>369</v>
      </c>
      <c r="B371" s="7" t="str">
        <f t="shared" si="73"/>
        <v>101</v>
      </c>
      <c r="C371" s="7" t="s">
        <v>8</v>
      </c>
      <c r="D371" s="7" t="s">
        <v>9</v>
      </c>
      <c r="E371" s="7" t="str">
        <f>"周珠琴"</f>
        <v>周珠琴</v>
      </c>
      <c r="F371" s="7" t="str">
        <f t="shared" si="83"/>
        <v>女</v>
      </c>
      <c r="G371" s="7" t="s">
        <v>368</v>
      </c>
      <c r="H371" s="8"/>
    </row>
    <row r="372" ht="25" customHeight="1" spans="1:8">
      <c r="A372" s="6">
        <v>370</v>
      </c>
      <c r="B372" s="7" t="str">
        <f t="shared" si="73"/>
        <v>101</v>
      </c>
      <c r="C372" s="7" t="s">
        <v>8</v>
      </c>
      <c r="D372" s="7" t="s">
        <v>9</v>
      </c>
      <c r="E372" s="7" t="str">
        <f>"王怡捷"</f>
        <v>王怡捷</v>
      </c>
      <c r="F372" s="7" t="str">
        <f t="shared" si="83"/>
        <v>女</v>
      </c>
      <c r="G372" s="7" t="s">
        <v>369</v>
      </c>
      <c r="H372" s="8"/>
    </row>
    <row r="373" ht="25" customHeight="1" spans="1:8">
      <c r="A373" s="6">
        <v>371</v>
      </c>
      <c r="B373" s="7" t="str">
        <f t="shared" si="73"/>
        <v>101</v>
      </c>
      <c r="C373" s="7" t="s">
        <v>8</v>
      </c>
      <c r="D373" s="7" t="s">
        <v>9</v>
      </c>
      <c r="E373" s="7" t="str">
        <f>"李欣义"</f>
        <v>李欣义</v>
      </c>
      <c r="F373" s="7" t="str">
        <f>"男"</f>
        <v>男</v>
      </c>
      <c r="G373" s="7" t="s">
        <v>370</v>
      </c>
      <c r="H373" s="8"/>
    </row>
    <row r="374" ht="25" customHeight="1" spans="1:8">
      <c r="A374" s="6">
        <v>372</v>
      </c>
      <c r="B374" s="7" t="str">
        <f t="shared" si="73"/>
        <v>101</v>
      </c>
      <c r="C374" s="7" t="s">
        <v>8</v>
      </c>
      <c r="D374" s="7" t="s">
        <v>9</v>
      </c>
      <c r="E374" s="7" t="str">
        <f>"李小琴"</f>
        <v>李小琴</v>
      </c>
      <c r="F374" s="7" t="str">
        <f t="shared" ref="F374:F379" si="84">"女"</f>
        <v>女</v>
      </c>
      <c r="G374" s="7" t="s">
        <v>371</v>
      </c>
      <c r="H374" s="8"/>
    </row>
    <row r="375" ht="25" customHeight="1" spans="1:8">
      <c r="A375" s="6">
        <v>373</v>
      </c>
      <c r="B375" s="7" t="str">
        <f t="shared" si="73"/>
        <v>101</v>
      </c>
      <c r="C375" s="7" t="s">
        <v>8</v>
      </c>
      <c r="D375" s="7" t="s">
        <v>9</v>
      </c>
      <c r="E375" s="7" t="str">
        <f>"肖晗"</f>
        <v>肖晗</v>
      </c>
      <c r="F375" s="7" t="str">
        <f t="shared" si="84"/>
        <v>女</v>
      </c>
      <c r="G375" s="7" t="s">
        <v>372</v>
      </c>
      <c r="H375" s="8"/>
    </row>
    <row r="376" ht="25" customHeight="1" spans="1:8">
      <c r="A376" s="6">
        <v>374</v>
      </c>
      <c r="B376" s="7" t="str">
        <f t="shared" si="73"/>
        <v>101</v>
      </c>
      <c r="C376" s="7" t="s">
        <v>8</v>
      </c>
      <c r="D376" s="7" t="s">
        <v>9</v>
      </c>
      <c r="E376" s="7" t="str">
        <f>"于攀"</f>
        <v>于攀</v>
      </c>
      <c r="F376" s="7" t="str">
        <f t="shared" si="84"/>
        <v>女</v>
      </c>
      <c r="G376" s="7" t="s">
        <v>373</v>
      </c>
      <c r="H376" s="8"/>
    </row>
    <row r="377" ht="25" customHeight="1" spans="1:8">
      <c r="A377" s="6">
        <v>375</v>
      </c>
      <c r="B377" s="7" t="str">
        <f t="shared" si="73"/>
        <v>101</v>
      </c>
      <c r="C377" s="7" t="s">
        <v>8</v>
      </c>
      <c r="D377" s="7" t="s">
        <v>9</v>
      </c>
      <c r="E377" s="7" t="str">
        <f>"吴浩灵"</f>
        <v>吴浩灵</v>
      </c>
      <c r="F377" s="7" t="str">
        <f t="shared" si="84"/>
        <v>女</v>
      </c>
      <c r="G377" s="7" t="s">
        <v>374</v>
      </c>
      <c r="H377" s="8"/>
    </row>
    <row r="378" ht="25" customHeight="1" spans="1:8">
      <c r="A378" s="6">
        <v>376</v>
      </c>
      <c r="B378" s="7" t="str">
        <f t="shared" si="73"/>
        <v>101</v>
      </c>
      <c r="C378" s="7" t="s">
        <v>8</v>
      </c>
      <c r="D378" s="7" t="s">
        <v>9</v>
      </c>
      <c r="E378" s="7" t="str">
        <f>"谢采坊"</f>
        <v>谢采坊</v>
      </c>
      <c r="F378" s="7" t="str">
        <f t="shared" si="84"/>
        <v>女</v>
      </c>
      <c r="G378" s="7" t="s">
        <v>375</v>
      </c>
      <c r="H378" s="8"/>
    </row>
    <row r="379" ht="25" customHeight="1" spans="1:8">
      <c r="A379" s="6">
        <v>377</v>
      </c>
      <c r="B379" s="7" t="str">
        <f t="shared" si="73"/>
        <v>101</v>
      </c>
      <c r="C379" s="7" t="s">
        <v>8</v>
      </c>
      <c r="D379" s="7" t="s">
        <v>9</v>
      </c>
      <c r="E379" s="7" t="str">
        <f>"周可可"</f>
        <v>周可可</v>
      </c>
      <c r="F379" s="7" t="str">
        <f t="shared" si="84"/>
        <v>女</v>
      </c>
      <c r="G379" s="7" t="s">
        <v>376</v>
      </c>
      <c r="H379" s="8"/>
    </row>
    <row r="380" ht="25" customHeight="1" spans="1:8">
      <c r="A380" s="6">
        <v>378</v>
      </c>
      <c r="B380" s="7" t="str">
        <f t="shared" si="73"/>
        <v>101</v>
      </c>
      <c r="C380" s="7" t="s">
        <v>8</v>
      </c>
      <c r="D380" s="7" t="s">
        <v>9</v>
      </c>
      <c r="E380" s="7" t="str">
        <f>"韩能"</f>
        <v>韩能</v>
      </c>
      <c r="F380" s="7" t="str">
        <f t="shared" ref="F380:F384" si="85">"男"</f>
        <v>男</v>
      </c>
      <c r="G380" s="7" t="s">
        <v>377</v>
      </c>
      <c r="H380" s="8"/>
    </row>
    <row r="381" ht="25" customHeight="1" spans="1:8">
      <c r="A381" s="6">
        <v>379</v>
      </c>
      <c r="B381" s="7" t="str">
        <f t="shared" si="73"/>
        <v>101</v>
      </c>
      <c r="C381" s="7" t="s">
        <v>8</v>
      </c>
      <c r="D381" s="7" t="s">
        <v>9</v>
      </c>
      <c r="E381" s="7" t="str">
        <f>"陈岱妙"</f>
        <v>陈岱妙</v>
      </c>
      <c r="F381" s="7" t="str">
        <f t="shared" ref="F381:F388" si="86">"女"</f>
        <v>女</v>
      </c>
      <c r="G381" s="7" t="s">
        <v>378</v>
      </c>
      <c r="H381" s="8"/>
    </row>
    <row r="382" ht="25" customHeight="1" spans="1:8">
      <c r="A382" s="6">
        <v>380</v>
      </c>
      <c r="B382" s="7" t="str">
        <f t="shared" si="73"/>
        <v>101</v>
      </c>
      <c r="C382" s="7" t="s">
        <v>8</v>
      </c>
      <c r="D382" s="7" t="s">
        <v>9</v>
      </c>
      <c r="E382" s="7" t="str">
        <f>"罗伶"</f>
        <v>罗伶</v>
      </c>
      <c r="F382" s="7" t="str">
        <f t="shared" si="86"/>
        <v>女</v>
      </c>
      <c r="G382" s="7" t="s">
        <v>379</v>
      </c>
      <c r="H382" s="8"/>
    </row>
    <row r="383" ht="25" customHeight="1" spans="1:8">
      <c r="A383" s="6">
        <v>381</v>
      </c>
      <c r="B383" s="7" t="str">
        <f t="shared" si="73"/>
        <v>101</v>
      </c>
      <c r="C383" s="7" t="s">
        <v>8</v>
      </c>
      <c r="D383" s="7" t="s">
        <v>9</v>
      </c>
      <c r="E383" s="7" t="str">
        <f>"吴开庆"</f>
        <v>吴开庆</v>
      </c>
      <c r="F383" s="7" t="str">
        <f t="shared" si="85"/>
        <v>男</v>
      </c>
      <c r="G383" s="7" t="s">
        <v>380</v>
      </c>
      <c r="H383" s="8"/>
    </row>
    <row r="384" ht="25" customHeight="1" spans="1:8">
      <c r="A384" s="6">
        <v>382</v>
      </c>
      <c r="B384" s="7" t="str">
        <f t="shared" si="73"/>
        <v>101</v>
      </c>
      <c r="C384" s="7" t="s">
        <v>8</v>
      </c>
      <c r="D384" s="7" t="s">
        <v>9</v>
      </c>
      <c r="E384" s="7" t="str">
        <f>"郑沛旭"</f>
        <v>郑沛旭</v>
      </c>
      <c r="F384" s="7" t="str">
        <f t="shared" si="85"/>
        <v>男</v>
      </c>
      <c r="G384" s="7" t="s">
        <v>381</v>
      </c>
      <c r="H384" s="8"/>
    </row>
    <row r="385" ht="25" customHeight="1" spans="1:8">
      <c r="A385" s="6">
        <v>383</v>
      </c>
      <c r="B385" s="7" t="str">
        <f t="shared" si="73"/>
        <v>101</v>
      </c>
      <c r="C385" s="7" t="s">
        <v>8</v>
      </c>
      <c r="D385" s="7" t="s">
        <v>9</v>
      </c>
      <c r="E385" s="7" t="str">
        <f>"陈沁"</f>
        <v>陈沁</v>
      </c>
      <c r="F385" s="7" t="str">
        <f t="shared" si="86"/>
        <v>女</v>
      </c>
      <c r="G385" s="7" t="s">
        <v>382</v>
      </c>
      <c r="H385" s="8"/>
    </row>
    <row r="386" ht="25" customHeight="1" spans="1:8">
      <c r="A386" s="6">
        <v>384</v>
      </c>
      <c r="B386" s="7" t="str">
        <f t="shared" si="73"/>
        <v>101</v>
      </c>
      <c r="C386" s="7" t="s">
        <v>8</v>
      </c>
      <c r="D386" s="7" t="s">
        <v>9</v>
      </c>
      <c r="E386" s="7" t="str">
        <f>"罗少芬"</f>
        <v>罗少芬</v>
      </c>
      <c r="F386" s="7" t="str">
        <f t="shared" si="86"/>
        <v>女</v>
      </c>
      <c r="G386" s="7" t="s">
        <v>383</v>
      </c>
      <c r="H386" s="8"/>
    </row>
    <row r="387" ht="25" customHeight="1" spans="1:8">
      <c r="A387" s="6">
        <v>385</v>
      </c>
      <c r="B387" s="7" t="str">
        <f t="shared" ref="B387:B450" si="87">"101"</f>
        <v>101</v>
      </c>
      <c r="C387" s="7" t="s">
        <v>8</v>
      </c>
      <c r="D387" s="7" t="s">
        <v>9</v>
      </c>
      <c r="E387" s="7" t="str">
        <f>"虞婷婷"</f>
        <v>虞婷婷</v>
      </c>
      <c r="F387" s="7" t="str">
        <f t="shared" si="86"/>
        <v>女</v>
      </c>
      <c r="G387" s="7" t="s">
        <v>384</v>
      </c>
      <c r="H387" s="8"/>
    </row>
    <row r="388" ht="25" customHeight="1" spans="1:8">
      <c r="A388" s="6">
        <v>386</v>
      </c>
      <c r="B388" s="7" t="str">
        <f t="shared" si="87"/>
        <v>101</v>
      </c>
      <c r="C388" s="7" t="s">
        <v>8</v>
      </c>
      <c r="D388" s="7" t="s">
        <v>9</v>
      </c>
      <c r="E388" s="7" t="str">
        <f>"黄创慧"</f>
        <v>黄创慧</v>
      </c>
      <c r="F388" s="7" t="str">
        <f t="shared" si="86"/>
        <v>女</v>
      </c>
      <c r="G388" s="7" t="s">
        <v>385</v>
      </c>
      <c r="H388" s="8"/>
    </row>
    <row r="389" ht="25" customHeight="1" spans="1:8">
      <c r="A389" s="6">
        <v>387</v>
      </c>
      <c r="B389" s="7" t="str">
        <f t="shared" si="87"/>
        <v>101</v>
      </c>
      <c r="C389" s="7" t="s">
        <v>8</v>
      </c>
      <c r="D389" s="7" t="s">
        <v>9</v>
      </c>
      <c r="E389" s="7" t="str">
        <f>"孙培铭"</f>
        <v>孙培铭</v>
      </c>
      <c r="F389" s="7" t="str">
        <f t="shared" ref="F389:F393" si="88">"男"</f>
        <v>男</v>
      </c>
      <c r="G389" s="7" t="s">
        <v>386</v>
      </c>
      <c r="H389" s="8"/>
    </row>
    <row r="390" ht="25" customHeight="1" spans="1:8">
      <c r="A390" s="6">
        <v>388</v>
      </c>
      <c r="B390" s="7" t="str">
        <f t="shared" si="87"/>
        <v>101</v>
      </c>
      <c r="C390" s="7" t="s">
        <v>8</v>
      </c>
      <c r="D390" s="7" t="s">
        <v>9</v>
      </c>
      <c r="E390" s="7" t="str">
        <f>"陈泽"</f>
        <v>陈泽</v>
      </c>
      <c r="F390" s="7" t="str">
        <f t="shared" si="88"/>
        <v>男</v>
      </c>
      <c r="G390" s="7" t="s">
        <v>387</v>
      </c>
      <c r="H390" s="8"/>
    </row>
    <row r="391" ht="25" customHeight="1" spans="1:8">
      <c r="A391" s="6">
        <v>389</v>
      </c>
      <c r="B391" s="7" t="str">
        <f t="shared" si="87"/>
        <v>101</v>
      </c>
      <c r="C391" s="7" t="s">
        <v>8</v>
      </c>
      <c r="D391" s="7" t="s">
        <v>9</v>
      </c>
      <c r="E391" s="7" t="str">
        <f>"王艳艳"</f>
        <v>王艳艳</v>
      </c>
      <c r="F391" s="7" t="str">
        <f t="shared" ref="F391:F403" si="89">"女"</f>
        <v>女</v>
      </c>
      <c r="G391" s="7" t="s">
        <v>388</v>
      </c>
      <c r="H391" s="8"/>
    </row>
    <row r="392" ht="25" customHeight="1" spans="1:8">
      <c r="A392" s="6">
        <v>390</v>
      </c>
      <c r="B392" s="7" t="str">
        <f t="shared" si="87"/>
        <v>101</v>
      </c>
      <c r="C392" s="7" t="s">
        <v>8</v>
      </c>
      <c r="D392" s="7" t="s">
        <v>9</v>
      </c>
      <c r="E392" s="7" t="str">
        <f>"羊嘉球"</f>
        <v>羊嘉球</v>
      </c>
      <c r="F392" s="7" t="str">
        <f t="shared" si="88"/>
        <v>男</v>
      </c>
      <c r="G392" s="7" t="s">
        <v>389</v>
      </c>
      <c r="H392" s="8"/>
    </row>
    <row r="393" ht="25" customHeight="1" spans="1:8">
      <c r="A393" s="6">
        <v>391</v>
      </c>
      <c r="B393" s="7" t="str">
        <f t="shared" si="87"/>
        <v>101</v>
      </c>
      <c r="C393" s="7" t="s">
        <v>8</v>
      </c>
      <c r="D393" s="7" t="s">
        <v>9</v>
      </c>
      <c r="E393" s="7" t="str">
        <f>"凌霄"</f>
        <v>凌霄</v>
      </c>
      <c r="F393" s="7" t="str">
        <f t="shared" si="88"/>
        <v>男</v>
      </c>
      <c r="G393" s="7" t="s">
        <v>390</v>
      </c>
      <c r="H393" s="8"/>
    </row>
    <row r="394" ht="25" customHeight="1" spans="1:8">
      <c r="A394" s="6">
        <v>392</v>
      </c>
      <c r="B394" s="7" t="str">
        <f t="shared" si="87"/>
        <v>101</v>
      </c>
      <c r="C394" s="7" t="s">
        <v>8</v>
      </c>
      <c r="D394" s="7" t="s">
        <v>9</v>
      </c>
      <c r="E394" s="7" t="str">
        <f>"朱嘉毅"</f>
        <v>朱嘉毅</v>
      </c>
      <c r="F394" s="7" t="str">
        <f t="shared" si="89"/>
        <v>女</v>
      </c>
      <c r="G394" s="7" t="s">
        <v>391</v>
      </c>
      <c r="H394" s="8"/>
    </row>
    <row r="395" ht="25" customHeight="1" spans="1:8">
      <c r="A395" s="6">
        <v>393</v>
      </c>
      <c r="B395" s="7" t="str">
        <f t="shared" si="87"/>
        <v>101</v>
      </c>
      <c r="C395" s="7" t="s">
        <v>8</v>
      </c>
      <c r="D395" s="7" t="s">
        <v>9</v>
      </c>
      <c r="E395" s="7" t="str">
        <f>"黎多江"</f>
        <v>黎多江</v>
      </c>
      <c r="F395" s="7" t="str">
        <f>"男"</f>
        <v>男</v>
      </c>
      <c r="G395" s="7" t="s">
        <v>392</v>
      </c>
      <c r="H395" s="8"/>
    </row>
    <row r="396" ht="25" customHeight="1" spans="1:8">
      <c r="A396" s="6">
        <v>394</v>
      </c>
      <c r="B396" s="7" t="str">
        <f t="shared" si="87"/>
        <v>101</v>
      </c>
      <c r="C396" s="7" t="s">
        <v>8</v>
      </c>
      <c r="D396" s="7" t="s">
        <v>9</v>
      </c>
      <c r="E396" s="7" t="str">
        <f>"苏春婷"</f>
        <v>苏春婷</v>
      </c>
      <c r="F396" s="7" t="str">
        <f t="shared" si="89"/>
        <v>女</v>
      </c>
      <c r="G396" s="7" t="s">
        <v>393</v>
      </c>
      <c r="H396" s="8"/>
    </row>
    <row r="397" ht="25" customHeight="1" spans="1:8">
      <c r="A397" s="6">
        <v>395</v>
      </c>
      <c r="B397" s="7" t="str">
        <f t="shared" si="87"/>
        <v>101</v>
      </c>
      <c r="C397" s="7" t="s">
        <v>8</v>
      </c>
      <c r="D397" s="7" t="s">
        <v>9</v>
      </c>
      <c r="E397" s="7" t="str">
        <f>"胡妙"</f>
        <v>胡妙</v>
      </c>
      <c r="F397" s="7" t="str">
        <f t="shared" si="89"/>
        <v>女</v>
      </c>
      <c r="G397" s="7" t="s">
        <v>394</v>
      </c>
      <c r="H397" s="8"/>
    </row>
    <row r="398" ht="25" customHeight="1" spans="1:8">
      <c r="A398" s="6">
        <v>396</v>
      </c>
      <c r="B398" s="7" t="str">
        <f t="shared" si="87"/>
        <v>101</v>
      </c>
      <c r="C398" s="7" t="s">
        <v>8</v>
      </c>
      <c r="D398" s="7" t="s">
        <v>9</v>
      </c>
      <c r="E398" s="7" t="str">
        <f>"程婉霞"</f>
        <v>程婉霞</v>
      </c>
      <c r="F398" s="7" t="str">
        <f t="shared" si="89"/>
        <v>女</v>
      </c>
      <c r="G398" s="7" t="s">
        <v>395</v>
      </c>
      <c r="H398" s="8"/>
    </row>
    <row r="399" ht="25" customHeight="1" spans="1:8">
      <c r="A399" s="6">
        <v>397</v>
      </c>
      <c r="B399" s="7" t="str">
        <f t="shared" si="87"/>
        <v>101</v>
      </c>
      <c r="C399" s="7" t="s">
        <v>8</v>
      </c>
      <c r="D399" s="7" t="s">
        <v>9</v>
      </c>
      <c r="E399" s="7" t="str">
        <f>"王慧婷"</f>
        <v>王慧婷</v>
      </c>
      <c r="F399" s="7" t="str">
        <f t="shared" si="89"/>
        <v>女</v>
      </c>
      <c r="G399" s="7" t="s">
        <v>396</v>
      </c>
      <c r="H399" s="8"/>
    </row>
    <row r="400" ht="25" customHeight="1" spans="1:8">
      <c r="A400" s="6">
        <v>398</v>
      </c>
      <c r="B400" s="7" t="str">
        <f t="shared" si="87"/>
        <v>101</v>
      </c>
      <c r="C400" s="7" t="s">
        <v>8</v>
      </c>
      <c r="D400" s="7" t="s">
        <v>9</v>
      </c>
      <c r="E400" s="7" t="str">
        <f>"龚应雯"</f>
        <v>龚应雯</v>
      </c>
      <c r="F400" s="7" t="str">
        <f t="shared" si="89"/>
        <v>女</v>
      </c>
      <c r="G400" s="7" t="s">
        <v>397</v>
      </c>
      <c r="H400" s="8"/>
    </row>
    <row r="401" ht="25" customHeight="1" spans="1:8">
      <c r="A401" s="6">
        <v>399</v>
      </c>
      <c r="B401" s="7" t="str">
        <f t="shared" si="87"/>
        <v>101</v>
      </c>
      <c r="C401" s="7" t="s">
        <v>8</v>
      </c>
      <c r="D401" s="7" t="s">
        <v>9</v>
      </c>
      <c r="E401" s="7" t="str">
        <f>"莫茜茜"</f>
        <v>莫茜茜</v>
      </c>
      <c r="F401" s="7" t="str">
        <f t="shared" si="89"/>
        <v>女</v>
      </c>
      <c r="G401" s="7" t="s">
        <v>352</v>
      </c>
      <c r="H401" s="8"/>
    </row>
    <row r="402" ht="25" customHeight="1" spans="1:8">
      <c r="A402" s="6">
        <v>400</v>
      </c>
      <c r="B402" s="7" t="str">
        <f t="shared" si="87"/>
        <v>101</v>
      </c>
      <c r="C402" s="7" t="s">
        <v>8</v>
      </c>
      <c r="D402" s="7" t="s">
        <v>9</v>
      </c>
      <c r="E402" s="7" t="str">
        <f>"吴玉莹"</f>
        <v>吴玉莹</v>
      </c>
      <c r="F402" s="7" t="str">
        <f t="shared" si="89"/>
        <v>女</v>
      </c>
      <c r="G402" s="7" t="s">
        <v>398</v>
      </c>
      <c r="H402" s="8"/>
    </row>
    <row r="403" ht="25" customHeight="1" spans="1:8">
      <c r="A403" s="6">
        <v>401</v>
      </c>
      <c r="B403" s="7" t="str">
        <f t="shared" si="87"/>
        <v>101</v>
      </c>
      <c r="C403" s="7" t="s">
        <v>8</v>
      </c>
      <c r="D403" s="7" t="s">
        <v>9</v>
      </c>
      <c r="E403" s="7" t="str">
        <f>"王春飞"</f>
        <v>王春飞</v>
      </c>
      <c r="F403" s="7" t="str">
        <f t="shared" si="89"/>
        <v>女</v>
      </c>
      <c r="G403" s="7" t="s">
        <v>399</v>
      </c>
      <c r="H403" s="8"/>
    </row>
    <row r="404" ht="25" customHeight="1" spans="1:8">
      <c r="A404" s="6">
        <v>402</v>
      </c>
      <c r="B404" s="7" t="str">
        <f t="shared" si="87"/>
        <v>101</v>
      </c>
      <c r="C404" s="7" t="s">
        <v>8</v>
      </c>
      <c r="D404" s="7" t="s">
        <v>9</v>
      </c>
      <c r="E404" s="7" t="str">
        <f>"马琤钰"</f>
        <v>马琤钰</v>
      </c>
      <c r="F404" s="7" t="str">
        <f t="shared" ref="F404:F408" si="90">"男"</f>
        <v>男</v>
      </c>
      <c r="G404" s="7" t="s">
        <v>400</v>
      </c>
      <c r="H404" s="8"/>
    </row>
    <row r="405" ht="25" customHeight="1" spans="1:8">
      <c r="A405" s="6">
        <v>403</v>
      </c>
      <c r="B405" s="7" t="str">
        <f t="shared" si="87"/>
        <v>101</v>
      </c>
      <c r="C405" s="7" t="s">
        <v>8</v>
      </c>
      <c r="D405" s="7" t="s">
        <v>9</v>
      </c>
      <c r="E405" s="7" t="str">
        <f>"王雅"</f>
        <v>王雅</v>
      </c>
      <c r="F405" s="7" t="str">
        <f t="shared" si="90"/>
        <v>男</v>
      </c>
      <c r="G405" s="7" t="s">
        <v>401</v>
      </c>
      <c r="H405" s="8"/>
    </row>
    <row r="406" ht="25" customHeight="1" spans="1:8">
      <c r="A406" s="6">
        <v>404</v>
      </c>
      <c r="B406" s="7" t="str">
        <f t="shared" si="87"/>
        <v>101</v>
      </c>
      <c r="C406" s="7" t="s">
        <v>8</v>
      </c>
      <c r="D406" s="7" t="s">
        <v>9</v>
      </c>
      <c r="E406" s="7" t="str">
        <f>"蔡宏丽"</f>
        <v>蔡宏丽</v>
      </c>
      <c r="F406" s="7" t="str">
        <f t="shared" ref="F406:F409" si="91">"女"</f>
        <v>女</v>
      </c>
      <c r="G406" s="7" t="s">
        <v>402</v>
      </c>
      <c r="H406" s="8"/>
    </row>
    <row r="407" ht="25" customHeight="1" spans="1:8">
      <c r="A407" s="6">
        <v>405</v>
      </c>
      <c r="B407" s="7" t="str">
        <f t="shared" si="87"/>
        <v>101</v>
      </c>
      <c r="C407" s="7" t="s">
        <v>8</v>
      </c>
      <c r="D407" s="7" t="s">
        <v>9</v>
      </c>
      <c r="E407" s="7" t="str">
        <f>"肖薇"</f>
        <v>肖薇</v>
      </c>
      <c r="F407" s="7" t="str">
        <f t="shared" si="91"/>
        <v>女</v>
      </c>
      <c r="G407" s="7" t="s">
        <v>403</v>
      </c>
      <c r="H407" s="8"/>
    </row>
    <row r="408" ht="25" customHeight="1" spans="1:8">
      <c r="A408" s="6">
        <v>406</v>
      </c>
      <c r="B408" s="7" t="str">
        <f t="shared" si="87"/>
        <v>101</v>
      </c>
      <c r="C408" s="7" t="s">
        <v>8</v>
      </c>
      <c r="D408" s="7" t="s">
        <v>9</v>
      </c>
      <c r="E408" s="7" t="str">
        <f>"吉才发"</f>
        <v>吉才发</v>
      </c>
      <c r="F408" s="7" t="str">
        <f t="shared" si="90"/>
        <v>男</v>
      </c>
      <c r="G408" s="7" t="s">
        <v>404</v>
      </c>
      <c r="H408" s="8"/>
    </row>
    <row r="409" ht="25" customHeight="1" spans="1:8">
      <c r="A409" s="6">
        <v>407</v>
      </c>
      <c r="B409" s="7" t="str">
        <f t="shared" si="87"/>
        <v>101</v>
      </c>
      <c r="C409" s="7" t="s">
        <v>8</v>
      </c>
      <c r="D409" s="7" t="s">
        <v>9</v>
      </c>
      <c r="E409" s="7" t="str">
        <f>"郭媛媛"</f>
        <v>郭媛媛</v>
      </c>
      <c r="F409" s="7" t="str">
        <f t="shared" si="91"/>
        <v>女</v>
      </c>
      <c r="G409" s="7" t="s">
        <v>405</v>
      </c>
      <c r="H409" s="8"/>
    </row>
    <row r="410" ht="25" customHeight="1" spans="1:8">
      <c r="A410" s="6">
        <v>408</v>
      </c>
      <c r="B410" s="7" t="str">
        <f t="shared" si="87"/>
        <v>101</v>
      </c>
      <c r="C410" s="7" t="s">
        <v>8</v>
      </c>
      <c r="D410" s="7" t="s">
        <v>9</v>
      </c>
      <c r="E410" s="7" t="str">
        <f>"曾伍乐"</f>
        <v>曾伍乐</v>
      </c>
      <c r="F410" s="7" t="str">
        <f t="shared" ref="F410:F413" si="92">"男"</f>
        <v>男</v>
      </c>
      <c r="G410" s="7" t="s">
        <v>406</v>
      </c>
      <c r="H410" s="8"/>
    </row>
    <row r="411" ht="25" customHeight="1" spans="1:8">
      <c r="A411" s="6">
        <v>409</v>
      </c>
      <c r="B411" s="7" t="str">
        <f t="shared" si="87"/>
        <v>101</v>
      </c>
      <c r="C411" s="7" t="s">
        <v>8</v>
      </c>
      <c r="D411" s="7" t="s">
        <v>9</v>
      </c>
      <c r="E411" s="7" t="str">
        <f>"钟文慧"</f>
        <v>钟文慧</v>
      </c>
      <c r="F411" s="7" t="str">
        <f t="shared" ref="F411:F418" si="93">"女"</f>
        <v>女</v>
      </c>
      <c r="G411" s="7" t="s">
        <v>407</v>
      </c>
      <c r="H411" s="8"/>
    </row>
    <row r="412" ht="25" customHeight="1" spans="1:8">
      <c r="A412" s="6">
        <v>410</v>
      </c>
      <c r="B412" s="7" t="str">
        <f t="shared" si="87"/>
        <v>101</v>
      </c>
      <c r="C412" s="7" t="s">
        <v>8</v>
      </c>
      <c r="D412" s="7" t="s">
        <v>9</v>
      </c>
      <c r="E412" s="7" t="str">
        <f>"黎广武"</f>
        <v>黎广武</v>
      </c>
      <c r="F412" s="7" t="str">
        <f t="shared" si="92"/>
        <v>男</v>
      </c>
      <c r="G412" s="7" t="s">
        <v>408</v>
      </c>
      <c r="H412" s="8"/>
    </row>
    <row r="413" ht="25" customHeight="1" spans="1:8">
      <c r="A413" s="6">
        <v>411</v>
      </c>
      <c r="B413" s="7" t="str">
        <f t="shared" si="87"/>
        <v>101</v>
      </c>
      <c r="C413" s="7" t="s">
        <v>8</v>
      </c>
      <c r="D413" s="7" t="s">
        <v>9</v>
      </c>
      <c r="E413" s="7" t="str">
        <f>"庄心宇"</f>
        <v>庄心宇</v>
      </c>
      <c r="F413" s="7" t="str">
        <f t="shared" si="92"/>
        <v>男</v>
      </c>
      <c r="G413" s="7" t="s">
        <v>409</v>
      </c>
      <c r="H413" s="8"/>
    </row>
    <row r="414" ht="25" customHeight="1" spans="1:8">
      <c r="A414" s="6">
        <v>412</v>
      </c>
      <c r="B414" s="7" t="str">
        <f t="shared" si="87"/>
        <v>101</v>
      </c>
      <c r="C414" s="7" t="s">
        <v>8</v>
      </c>
      <c r="D414" s="7" t="s">
        <v>9</v>
      </c>
      <c r="E414" s="7" t="str">
        <f>"鲁志芳"</f>
        <v>鲁志芳</v>
      </c>
      <c r="F414" s="7" t="str">
        <f t="shared" si="93"/>
        <v>女</v>
      </c>
      <c r="G414" s="7" t="s">
        <v>410</v>
      </c>
      <c r="H414" s="8"/>
    </row>
    <row r="415" ht="25" customHeight="1" spans="1:8">
      <c r="A415" s="6">
        <v>413</v>
      </c>
      <c r="B415" s="7" t="str">
        <f t="shared" si="87"/>
        <v>101</v>
      </c>
      <c r="C415" s="7" t="s">
        <v>8</v>
      </c>
      <c r="D415" s="7" t="s">
        <v>9</v>
      </c>
      <c r="E415" s="7" t="str">
        <f>"李娜"</f>
        <v>李娜</v>
      </c>
      <c r="F415" s="7" t="str">
        <f t="shared" si="93"/>
        <v>女</v>
      </c>
      <c r="G415" s="7" t="s">
        <v>375</v>
      </c>
      <c r="H415" s="8"/>
    </row>
    <row r="416" ht="25" customHeight="1" spans="1:8">
      <c r="A416" s="6">
        <v>414</v>
      </c>
      <c r="B416" s="7" t="str">
        <f t="shared" si="87"/>
        <v>101</v>
      </c>
      <c r="C416" s="7" t="s">
        <v>8</v>
      </c>
      <c r="D416" s="7" t="s">
        <v>9</v>
      </c>
      <c r="E416" s="7" t="str">
        <f>"曾海琼"</f>
        <v>曾海琼</v>
      </c>
      <c r="F416" s="7" t="str">
        <f t="shared" si="93"/>
        <v>女</v>
      </c>
      <c r="G416" s="7" t="s">
        <v>147</v>
      </c>
      <c r="H416" s="8"/>
    </row>
    <row r="417" ht="25" customHeight="1" spans="1:8">
      <c r="A417" s="6">
        <v>415</v>
      </c>
      <c r="B417" s="7" t="str">
        <f t="shared" si="87"/>
        <v>101</v>
      </c>
      <c r="C417" s="7" t="s">
        <v>8</v>
      </c>
      <c r="D417" s="7" t="s">
        <v>9</v>
      </c>
      <c r="E417" s="7" t="str">
        <f>"黄莉莉"</f>
        <v>黄莉莉</v>
      </c>
      <c r="F417" s="7" t="str">
        <f t="shared" si="93"/>
        <v>女</v>
      </c>
      <c r="G417" s="7" t="s">
        <v>411</v>
      </c>
      <c r="H417" s="8"/>
    </row>
    <row r="418" ht="25" customHeight="1" spans="1:8">
      <c r="A418" s="6">
        <v>416</v>
      </c>
      <c r="B418" s="7" t="str">
        <f t="shared" si="87"/>
        <v>101</v>
      </c>
      <c r="C418" s="7" t="s">
        <v>8</v>
      </c>
      <c r="D418" s="7" t="s">
        <v>9</v>
      </c>
      <c r="E418" s="7" t="str">
        <f>"经巧群"</f>
        <v>经巧群</v>
      </c>
      <c r="F418" s="7" t="str">
        <f t="shared" si="93"/>
        <v>女</v>
      </c>
      <c r="G418" s="7" t="s">
        <v>412</v>
      </c>
      <c r="H418" s="8"/>
    </row>
    <row r="419" ht="25" customHeight="1" spans="1:8">
      <c r="A419" s="6">
        <v>417</v>
      </c>
      <c r="B419" s="7" t="str">
        <f t="shared" si="87"/>
        <v>101</v>
      </c>
      <c r="C419" s="7" t="s">
        <v>8</v>
      </c>
      <c r="D419" s="7" t="s">
        <v>9</v>
      </c>
      <c r="E419" s="7" t="str">
        <f>"王益壮"</f>
        <v>王益壮</v>
      </c>
      <c r="F419" s="7" t="str">
        <f t="shared" ref="F419:F423" si="94">"男"</f>
        <v>男</v>
      </c>
      <c r="G419" s="7" t="s">
        <v>413</v>
      </c>
      <c r="H419" s="8"/>
    </row>
    <row r="420" ht="25" customHeight="1" spans="1:8">
      <c r="A420" s="6">
        <v>418</v>
      </c>
      <c r="B420" s="7" t="str">
        <f t="shared" si="87"/>
        <v>101</v>
      </c>
      <c r="C420" s="7" t="s">
        <v>8</v>
      </c>
      <c r="D420" s="7" t="s">
        <v>9</v>
      </c>
      <c r="E420" s="7" t="str">
        <f>"郑佳华"</f>
        <v>郑佳华</v>
      </c>
      <c r="F420" s="7" t="str">
        <f t="shared" ref="F420:F424" si="95">"女"</f>
        <v>女</v>
      </c>
      <c r="G420" s="7" t="s">
        <v>414</v>
      </c>
      <c r="H420" s="8"/>
    </row>
    <row r="421" ht="25" customHeight="1" spans="1:8">
      <c r="A421" s="6">
        <v>419</v>
      </c>
      <c r="B421" s="7" t="str">
        <f t="shared" si="87"/>
        <v>101</v>
      </c>
      <c r="C421" s="7" t="s">
        <v>8</v>
      </c>
      <c r="D421" s="7" t="s">
        <v>9</v>
      </c>
      <c r="E421" s="7" t="str">
        <f>"吴慧玲"</f>
        <v>吴慧玲</v>
      </c>
      <c r="F421" s="7" t="str">
        <f t="shared" si="95"/>
        <v>女</v>
      </c>
      <c r="G421" s="7" t="s">
        <v>415</v>
      </c>
      <c r="H421" s="8"/>
    </row>
    <row r="422" ht="25" customHeight="1" spans="1:8">
      <c r="A422" s="6">
        <v>420</v>
      </c>
      <c r="B422" s="7" t="str">
        <f t="shared" si="87"/>
        <v>101</v>
      </c>
      <c r="C422" s="7" t="s">
        <v>8</v>
      </c>
      <c r="D422" s="7" t="s">
        <v>9</v>
      </c>
      <c r="E422" s="7" t="str">
        <f>"张志鑫"</f>
        <v>张志鑫</v>
      </c>
      <c r="F422" s="7" t="str">
        <f t="shared" si="94"/>
        <v>男</v>
      </c>
      <c r="G422" s="7" t="s">
        <v>416</v>
      </c>
      <c r="H422" s="8"/>
    </row>
    <row r="423" ht="25" customHeight="1" spans="1:8">
      <c r="A423" s="6">
        <v>421</v>
      </c>
      <c r="B423" s="7" t="str">
        <f t="shared" si="87"/>
        <v>101</v>
      </c>
      <c r="C423" s="7" t="s">
        <v>8</v>
      </c>
      <c r="D423" s="7" t="s">
        <v>9</v>
      </c>
      <c r="E423" s="7" t="str">
        <f>"李阳"</f>
        <v>李阳</v>
      </c>
      <c r="F423" s="7" t="str">
        <f t="shared" si="94"/>
        <v>男</v>
      </c>
      <c r="G423" s="7" t="s">
        <v>417</v>
      </c>
      <c r="H423" s="8"/>
    </row>
    <row r="424" ht="25" customHeight="1" spans="1:8">
      <c r="A424" s="6">
        <v>422</v>
      </c>
      <c r="B424" s="7" t="str">
        <f t="shared" si="87"/>
        <v>101</v>
      </c>
      <c r="C424" s="7" t="s">
        <v>8</v>
      </c>
      <c r="D424" s="7" t="s">
        <v>9</v>
      </c>
      <c r="E424" s="7" t="str">
        <f>"温乐儿"</f>
        <v>温乐儿</v>
      </c>
      <c r="F424" s="7" t="str">
        <f t="shared" si="95"/>
        <v>女</v>
      </c>
      <c r="G424" s="7" t="s">
        <v>418</v>
      </c>
      <c r="H424" s="8"/>
    </row>
    <row r="425" ht="25" customHeight="1" spans="1:8">
      <c r="A425" s="6">
        <v>423</v>
      </c>
      <c r="B425" s="7" t="str">
        <f t="shared" si="87"/>
        <v>101</v>
      </c>
      <c r="C425" s="7" t="s">
        <v>8</v>
      </c>
      <c r="D425" s="7" t="s">
        <v>9</v>
      </c>
      <c r="E425" s="7" t="str">
        <f>"殷亚龙"</f>
        <v>殷亚龙</v>
      </c>
      <c r="F425" s="7" t="str">
        <f>"男"</f>
        <v>男</v>
      </c>
      <c r="G425" s="7" t="s">
        <v>419</v>
      </c>
      <c r="H425" s="8"/>
    </row>
    <row r="426" ht="25" customHeight="1" spans="1:8">
      <c r="A426" s="6">
        <v>424</v>
      </c>
      <c r="B426" s="7" t="str">
        <f t="shared" si="87"/>
        <v>101</v>
      </c>
      <c r="C426" s="7" t="s">
        <v>8</v>
      </c>
      <c r="D426" s="7" t="s">
        <v>9</v>
      </c>
      <c r="E426" s="7" t="str">
        <f>"王君怡"</f>
        <v>王君怡</v>
      </c>
      <c r="F426" s="7" t="str">
        <f t="shared" ref="F426:F432" si="96">"女"</f>
        <v>女</v>
      </c>
      <c r="G426" s="7" t="s">
        <v>420</v>
      </c>
      <c r="H426" s="8"/>
    </row>
    <row r="427" ht="25" customHeight="1" spans="1:8">
      <c r="A427" s="6">
        <v>425</v>
      </c>
      <c r="B427" s="7" t="str">
        <f t="shared" si="87"/>
        <v>101</v>
      </c>
      <c r="C427" s="7" t="s">
        <v>8</v>
      </c>
      <c r="D427" s="7" t="s">
        <v>9</v>
      </c>
      <c r="E427" s="7" t="str">
        <f>"高力学"</f>
        <v>高力学</v>
      </c>
      <c r="F427" s="7" t="str">
        <f t="shared" si="96"/>
        <v>女</v>
      </c>
      <c r="G427" s="7" t="s">
        <v>421</v>
      </c>
      <c r="H427" s="8"/>
    </row>
    <row r="428" ht="25" customHeight="1" spans="1:8">
      <c r="A428" s="6">
        <v>426</v>
      </c>
      <c r="B428" s="7" t="str">
        <f t="shared" si="87"/>
        <v>101</v>
      </c>
      <c r="C428" s="7" t="s">
        <v>8</v>
      </c>
      <c r="D428" s="7" t="s">
        <v>9</v>
      </c>
      <c r="E428" s="7" t="str">
        <f>"管思媛"</f>
        <v>管思媛</v>
      </c>
      <c r="F428" s="7" t="str">
        <f t="shared" si="96"/>
        <v>女</v>
      </c>
      <c r="G428" s="7" t="s">
        <v>422</v>
      </c>
      <c r="H428" s="8"/>
    </row>
    <row r="429" ht="25" customHeight="1" spans="1:8">
      <c r="A429" s="6">
        <v>427</v>
      </c>
      <c r="B429" s="7" t="str">
        <f t="shared" si="87"/>
        <v>101</v>
      </c>
      <c r="C429" s="7" t="s">
        <v>8</v>
      </c>
      <c r="D429" s="7" t="s">
        <v>9</v>
      </c>
      <c r="E429" s="7" t="str">
        <f>"林雪莹"</f>
        <v>林雪莹</v>
      </c>
      <c r="F429" s="7" t="str">
        <f t="shared" si="96"/>
        <v>女</v>
      </c>
      <c r="G429" s="7" t="s">
        <v>423</v>
      </c>
      <c r="H429" s="8"/>
    </row>
    <row r="430" ht="25" customHeight="1" spans="1:8">
      <c r="A430" s="6">
        <v>428</v>
      </c>
      <c r="B430" s="7" t="str">
        <f t="shared" si="87"/>
        <v>101</v>
      </c>
      <c r="C430" s="7" t="s">
        <v>8</v>
      </c>
      <c r="D430" s="7" t="s">
        <v>9</v>
      </c>
      <c r="E430" s="7" t="str">
        <f>"梁锦娴"</f>
        <v>梁锦娴</v>
      </c>
      <c r="F430" s="7" t="str">
        <f t="shared" si="96"/>
        <v>女</v>
      </c>
      <c r="G430" s="7" t="s">
        <v>424</v>
      </c>
      <c r="H430" s="8"/>
    </row>
    <row r="431" ht="25" customHeight="1" spans="1:8">
      <c r="A431" s="6">
        <v>429</v>
      </c>
      <c r="B431" s="7" t="str">
        <f t="shared" si="87"/>
        <v>101</v>
      </c>
      <c r="C431" s="7" t="s">
        <v>8</v>
      </c>
      <c r="D431" s="7" t="s">
        <v>9</v>
      </c>
      <c r="E431" s="7" t="str">
        <f>"高梦婕"</f>
        <v>高梦婕</v>
      </c>
      <c r="F431" s="7" t="str">
        <f t="shared" si="96"/>
        <v>女</v>
      </c>
      <c r="G431" s="7" t="s">
        <v>425</v>
      </c>
      <c r="H431" s="8"/>
    </row>
    <row r="432" ht="25" customHeight="1" spans="1:8">
      <c r="A432" s="6">
        <v>430</v>
      </c>
      <c r="B432" s="7" t="str">
        <f t="shared" si="87"/>
        <v>101</v>
      </c>
      <c r="C432" s="7" t="s">
        <v>8</v>
      </c>
      <c r="D432" s="7" t="s">
        <v>9</v>
      </c>
      <c r="E432" s="7" t="str">
        <f>"陈广娜"</f>
        <v>陈广娜</v>
      </c>
      <c r="F432" s="7" t="str">
        <f t="shared" si="96"/>
        <v>女</v>
      </c>
      <c r="G432" s="7" t="s">
        <v>426</v>
      </c>
      <c r="H432" s="8"/>
    </row>
    <row r="433" ht="25" customHeight="1" spans="1:8">
      <c r="A433" s="6">
        <v>431</v>
      </c>
      <c r="B433" s="7" t="str">
        <f t="shared" si="87"/>
        <v>101</v>
      </c>
      <c r="C433" s="7" t="s">
        <v>8</v>
      </c>
      <c r="D433" s="7" t="s">
        <v>9</v>
      </c>
      <c r="E433" s="7" t="str">
        <f>"洪福杰"</f>
        <v>洪福杰</v>
      </c>
      <c r="F433" s="7" t="str">
        <f>"男"</f>
        <v>男</v>
      </c>
      <c r="G433" s="7" t="s">
        <v>427</v>
      </c>
      <c r="H433" s="8"/>
    </row>
    <row r="434" ht="25" customHeight="1" spans="1:8">
      <c r="A434" s="6">
        <v>432</v>
      </c>
      <c r="B434" s="7" t="str">
        <f t="shared" si="87"/>
        <v>101</v>
      </c>
      <c r="C434" s="7" t="s">
        <v>8</v>
      </c>
      <c r="D434" s="7" t="s">
        <v>9</v>
      </c>
      <c r="E434" s="7" t="str">
        <f>"谭骜捷"</f>
        <v>谭骜捷</v>
      </c>
      <c r="F434" s="7" t="str">
        <f>"男"</f>
        <v>男</v>
      </c>
      <c r="G434" s="7" t="s">
        <v>428</v>
      </c>
      <c r="H434" s="8"/>
    </row>
    <row r="435" ht="25" customHeight="1" spans="1:8">
      <c r="A435" s="6">
        <v>433</v>
      </c>
      <c r="B435" s="7" t="str">
        <f t="shared" si="87"/>
        <v>101</v>
      </c>
      <c r="C435" s="7" t="s">
        <v>8</v>
      </c>
      <c r="D435" s="7" t="s">
        <v>9</v>
      </c>
      <c r="E435" s="7" t="str">
        <f>"张舒心"</f>
        <v>张舒心</v>
      </c>
      <c r="F435" s="7" t="str">
        <f t="shared" ref="F435:F444" si="97">"女"</f>
        <v>女</v>
      </c>
      <c r="G435" s="7" t="s">
        <v>429</v>
      </c>
      <c r="H435" s="8"/>
    </row>
    <row r="436" ht="25" customHeight="1" spans="1:8">
      <c r="A436" s="6">
        <v>434</v>
      </c>
      <c r="B436" s="7" t="str">
        <f t="shared" si="87"/>
        <v>101</v>
      </c>
      <c r="C436" s="7" t="s">
        <v>8</v>
      </c>
      <c r="D436" s="7" t="s">
        <v>9</v>
      </c>
      <c r="E436" s="7" t="str">
        <f>"廖雨祺"</f>
        <v>廖雨祺</v>
      </c>
      <c r="F436" s="7" t="str">
        <f t="shared" si="97"/>
        <v>女</v>
      </c>
      <c r="G436" s="7" t="s">
        <v>114</v>
      </c>
      <c r="H436" s="8"/>
    </row>
    <row r="437" ht="25" customHeight="1" spans="1:8">
      <c r="A437" s="6">
        <v>435</v>
      </c>
      <c r="B437" s="7" t="str">
        <f t="shared" si="87"/>
        <v>101</v>
      </c>
      <c r="C437" s="7" t="s">
        <v>8</v>
      </c>
      <c r="D437" s="7" t="s">
        <v>9</v>
      </c>
      <c r="E437" s="7" t="str">
        <f>"许青香"</f>
        <v>许青香</v>
      </c>
      <c r="F437" s="7" t="str">
        <f t="shared" si="97"/>
        <v>女</v>
      </c>
      <c r="G437" s="7" t="s">
        <v>430</v>
      </c>
      <c r="H437" s="8"/>
    </row>
    <row r="438" ht="25" customHeight="1" spans="1:8">
      <c r="A438" s="6">
        <v>436</v>
      </c>
      <c r="B438" s="7" t="str">
        <f t="shared" si="87"/>
        <v>101</v>
      </c>
      <c r="C438" s="7" t="s">
        <v>8</v>
      </c>
      <c r="D438" s="7" t="s">
        <v>9</v>
      </c>
      <c r="E438" s="7" t="str">
        <f>"陈欣丽"</f>
        <v>陈欣丽</v>
      </c>
      <c r="F438" s="7" t="str">
        <f t="shared" si="97"/>
        <v>女</v>
      </c>
      <c r="G438" s="7" t="s">
        <v>431</v>
      </c>
      <c r="H438" s="8"/>
    </row>
    <row r="439" ht="25" customHeight="1" spans="1:8">
      <c r="A439" s="6">
        <v>437</v>
      </c>
      <c r="B439" s="7" t="str">
        <f t="shared" si="87"/>
        <v>101</v>
      </c>
      <c r="C439" s="7" t="s">
        <v>8</v>
      </c>
      <c r="D439" s="7" t="s">
        <v>9</v>
      </c>
      <c r="E439" s="7" t="str">
        <f>"李小盈"</f>
        <v>李小盈</v>
      </c>
      <c r="F439" s="7" t="str">
        <f t="shared" si="97"/>
        <v>女</v>
      </c>
      <c r="G439" s="7" t="s">
        <v>432</v>
      </c>
      <c r="H439" s="8"/>
    </row>
    <row r="440" ht="25" customHeight="1" spans="1:8">
      <c r="A440" s="6">
        <v>438</v>
      </c>
      <c r="B440" s="7" t="str">
        <f t="shared" si="87"/>
        <v>101</v>
      </c>
      <c r="C440" s="7" t="s">
        <v>8</v>
      </c>
      <c r="D440" s="7" t="s">
        <v>9</v>
      </c>
      <c r="E440" s="7" t="str">
        <f>"陈蕊"</f>
        <v>陈蕊</v>
      </c>
      <c r="F440" s="7" t="str">
        <f t="shared" si="97"/>
        <v>女</v>
      </c>
      <c r="G440" s="7" t="s">
        <v>433</v>
      </c>
      <c r="H440" s="8"/>
    </row>
    <row r="441" ht="25" customHeight="1" spans="1:8">
      <c r="A441" s="6">
        <v>439</v>
      </c>
      <c r="B441" s="7" t="str">
        <f t="shared" si="87"/>
        <v>101</v>
      </c>
      <c r="C441" s="7" t="s">
        <v>8</v>
      </c>
      <c r="D441" s="7" t="s">
        <v>9</v>
      </c>
      <c r="E441" s="7" t="str">
        <f>"邢玉慧"</f>
        <v>邢玉慧</v>
      </c>
      <c r="F441" s="7" t="str">
        <f t="shared" si="97"/>
        <v>女</v>
      </c>
      <c r="G441" s="7" t="s">
        <v>434</v>
      </c>
      <c r="H441" s="8"/>
    </row>
    <row r="442" ht="25" customHeight="1" spans="1:8">
      <c r="A442" s="6">
        <v>440</v>
      </c>
      <c r="B442" s="7" t="str">
        <f t="shared" si="87"/>
        <v>101</v>
      </c>
      <c r="C442" s="7" t="s">
        <v>8</v>
      </c>
      <c r="D442" s="7" t="s">
        <v>9</v>
      </c>
      <c r="E442" s="7" t="str">
        <f>"陈明慧"</f>
        <v>陈明慧</v>
      </c>
      <c r="F442" s="7" t="str">
        <f t="shared" si="97"/>
        <v>女</v>
      </c>
      <c r="G442" s="7" t="s">
        <v>435</v>
      </c>
      <c r="H442" s="8"/>
    </row>
    <row r="443" ht="25" customHeight="1" spans="1:8">
      <c r="A443" s="6">
        <v>441</v>
      </c>
      <c r="B443" s="7" t="str">
        <f t="shared" si="87"/>
        <v>101</v>
      </c>
      <c r="C443" s="7" t="s">
        <v>8</v>
      </c>
      <c r="D443" s="7" t="s">
        <v>9</v>
      </c>
      <c r="E443" s="7" t="str">
        <f>"刘琳"</f>
        <v>刘琳</v>
      </c>
      <c r="F443" s="7" t="str">
        <f t="shared" si="97"/>
        <v>女</v>
      </c>
      <c r="G443" s="7" t="s">
        <v>436</v>
      </c>
      <c r="H443" s="8"/>
    </row>
    <row r="444" ht="25" customHeight="1" spans="1:8">
      <c r="A444" s="6">
        <v>442</v>
      </c>
      <c r="B444" s="7" t="str">
        <f t="shared" si="87"/>
        <v>101</v>
      </c>
      <c r="C444" s="7" t="s">
        <v>8</v>
      </c>
      <c r="D444" s="7" t="s">
        <v>9</v>
      </c>
      <c r="E444" s="7" t="str">
        <f>"林芳媛"</f>
        <v>林芳媛</v>
      </c>
      <c r="F444" s="7" t="str">
        <f t="shared" si="97"/>
        <v>女</v>
      </c>
      <c r="G444" s="7" t="s">
        <v>437</v>
      </c>
      <c r="H444" s="8"/>
    </row>
    <row r="445" ht="25" customHeight="1" spans="1:8">
      <c r="A445" s="6">
        <v>443</v>
      </c>
      <c r="B445" s="7" t="str">
        <f t="shared" si="87"/>
        <v>101</v>
      </c>
      <c r="C445" s="7" t="s">
        <v>8</v>
      </c>
      <c r="D445" s="7" t="s">
        <v>9</v>
      </c>
      <c r="E445" s="7" t="str">
        <f>"陈晖煜"</f>
        <v>陈晖煜</v>
      </c>
      <c r="F445" s="7" t="str">
        <f>"男"</f>
        <v>男</v>
      </c>
      <c r="G445" s="7" t="s">
        <v>438</v>
      </c>
      <c r="H445" s="8"/>
    </row>
    <row r="446" ht="25" customHeight="1" spans="1:8">
      <c r="A446" s="6">
        <v>444</v>
      </c>
      <c r="B446" s="7" t="str">
        <f t="shared" si="87"/>
        <v>101</v>
      </c>
      <c r="C446" s="7" t="s">
        <v>8</v>
      </c>
      <c r="D446" s="7" t="s">
        <v>9</v>
      </c>
      <c r="E446" s="7" t="str">
        <f>"陈乃桃"</f>
        <v>陈乃桃</v>
      </c>
      <c r="F446" s="7" t="str">
        <f t="shared" ref="F446:F448" si="98">"女"</f>
        <v>女</v>
      </c>
      <c r="G446" s="7" t="s">
        <v>439</v>
      </c>
      <c r="H446" s="8"/>
    </row>
    <row r="447" ht="25" customHeight="1" spans="1:8">
      <c r="A447" s="6">
        <v>445</v>
      </c>
      <c r="B447" s="7" t="str">
        <f t="shared" si="87"/>
        <v>101</v>
      </c>
      <c r="C447" s="7" t="s">
        <v>8</v>
      </c>
      <c r="D447" s="7" t="s">
        <v>9</v>
      </c>
      <c r="E447" s="7" t="str">
        <f>"胡静"</f>
        <v>胡静</v>
      </c>
      <c r="F447" s="7" t="str">
        <f t="shared" si="98"/>
        <v>女</v>
      </c>
      <c r="G447" s="7" t="s">
        <v>440</v>
      </c>
      <c r="H447" s="8"/>
    </row>
    <row r="448" ht="25" customHeight="1" spans="1:8">
      <c r="A448" s="6">
        <v>446</v>
      </c>
      <c r="B448" s="7" t="str">
        <f t="shared" si="87"/>
        <v>101</v>
      </c>
      <c r="C448" s="7" t="s">
        <v>8</v>
      </c>
      <c r="D448" s="7" t="s">
        <v>9</v>
      </c>
      <c r="E448" s="7" t="str">
        <f>"麦晓云"</f>
        <v>麦晓云</v>
      </c>
      <c r="F448" s="7" t="str">
        <f t="shared" si="98"/>
        <v>女</v>
      </c>
      <c r="G448" s="7" t="s">
        <v>441</v>
      </c>
      <c r="H448" s="8"/>
    </row>
    <row r="449" ht="25" customHeight="1" spans="1:8">
      <c r="A449" s="6">
        <v>447</v>
      </c>
      <c r="B449" s="7" t="str">
        <f t="shared" si="87"/>
        <v>101</v>
      </c>
      <c r="C449" s="7" t="s">
        <v>8</v>
      </c>
      <c r="D449" s="7" t="s">
        <v>9</v>
      </c>
      <c r="E449" s="7" t="str">
        <f>"林彦泷"</f>
        <v>林彦泷</v>
      </c>
      <c r="F449" s="7" t="str">
        <f t="shared" ref="F449:F453" si="99">"男"</f>
        <v>男</v>
      </c>
      <c r="G449" s="7" t="s">
        <v>442</v>
      </c>
      <c r="H449" s="8"/>
    </row>
    <row r="450" ht="25" customHeight="1" spans="1:8">
      <c r="A450" s="6">
        <v>448</v>
      </c>
      <c r="B450" s="7" t="str">
        <f t="shared" si="87"/>
        <v>101</v>
      </c>
      <c r="C450" s="7" t="s">
        <v>8</v>
      </c>
      <c r="D450" s="7" t="s">
        <v>9</v>
      </c>
      <c r="E450" s="7" t="str">
        <f>"吴开菊"</f>
        <v>吴开菊</v>
      </c>
      <c r="F450" s="7" t="str">
        <f t="shared" ref="F450:F456" si="100">"女"</f>
        <v>女</v>
      </c>
      <c r="G450" s="7" t="s">
        <v>443</v>
      </c>
      <c r="H450" s="8"/>
    </row>
    <row r="451" ht="25" customHeight="1" spans="1:8">
      <c r="A451" s="6">
        <v>449</v>
      </c>
      <c r="B451" s="7" t="str">
        <f t="shared" ref="B451:B514" si="101">"101"</f>
        <v>101</v>
      </c>
      <c r="C451" s="7" t="s">
        <v>8</v>
      </c>
      <c r="D451" s="7" t="s">
        <v>9</v>
      </c>
      <c r="E451" s="7" t="str">
        <f>"李冰"</f>
        <v>李冰</v>
      </c>
      <c r="F451" s="7" t="str">
        <f t="shared" si="100"/>
        <v>女</v>
      </c>
      <c r="G451" s="7" t="s">
        <v>444</v>
      </c>
      <c r="H451" s="8"/>
    </row>
    <row r="452" ht="25" customHeight="1" spans="1:8">
      <c r="A452" s="6">
        <v>450</v>
      </c>
      <c r="B452" s="7" t="str">
        <f t="shared" si="101"/>
        <v>101</v>
      </c>
      <c r="C452" s="7" t="s">
        <v>8</v>
      </c>
      <c r="D452" s="7" t="s">
        <v>9</v>
      </c>
      <c r="E452" s="7" t="str">
        <f>"林国义"</f>
        <v>林国义</v>
      </c>
      <c r="F452" s="7" t="str">
        <f t="shared" si="99"/>
        <v>男</v>
      </c>
      <c r="G452" s="7" t="s">
        <v>445</v>
      </c>
      <c r="H452" s="8"/>
    </row>
    <row r="453" ht="25" customHeight="1" spans="1:8">
      <c r="A453" s="6">
        <v>451</v>
      </c>
      <c r="B453" s="7" t="str">
        <f t="shared" si="101"/>
        <v>101</v>
      </c>
      <c r="C453" s="7" t="s">
        <v>8</v>
      </c>
      <c r="D453" s="7" t="s">
        <v>9</v>
      </c>
      <c r="E453" s="7" t="str">
        <f>"符福成"</f>
        <v>符福成</v>
      </c>
      <c r="F453" s="7" t="str">
        <f t="shared" si="99"/>
        <v>男</v>
      </c>
      <c r="G453" s="7" t="s">
        <v>446</v>
      </c>
      <c r="H453" s="8"/>
    </row>
    <row r="454" ht="25" customHeight="1" spans="1:8">
      <c r="A454" s="6">
        <v>452</v>
      </c>
      <c r="B454" s="7" t="str">
        <f t="shared" si="101"/>
        <v>101</v>
      </c>
      <c r="C454" s="7" t="s">
        <v>8</v>
      </c>
      <c r="D454" s="7" t="s">
        <v>9</v>
      </c>
      <c r="E454" s="7" t="str">
        <f>"罗雨欣"</f>
        <v>罗雨欣</v>
      </c>
      <c r="F454" s="7" t="str">
        <f t="shared" si="100"/>
        <v>女</v>
      </c>
      <c r="G454" s="7" t="s">
        <v>447</v>
      </c>
      <c r="H454" s="8"/>
    </row>
    <row r="455" ht="25" customHeight="1" spans="1:8">
      <c r="A455" s="6">
        <v>453</v>
      </c>
      <c r="B455" s="7" t="str">
        <f t="shared" si="101"/>
        <v>101</v>
      </c>
      <c r="C455" s="7" t="s">
        <v>8</v>
      </c>
      <c r="D455" s="7" t="s">
        <v>9</v>
      </c>
      <c r="E455" s="7" t="str">
        <f>"黄泽欣"</f>
        <v>黄泽欣</v>
      </c>
      <c r="F455" s="7" t="str">
        <f t="shared" si="100"/>
        <v>女</v>
      </c>
      <c r="G455" s="7" t="s">
        <v>448</v>
      </c>
      <c r="H455" s="8"/>
    </row>
    <row r="456" ht="25" customHeight="1" spans="1:8">
      <c r="A456" s="6">
        <v>454</v>
      </c>
      <c r="B456" s="7" t="str">
        <f t="shared" si="101"/>
        <v>101</v>
      </c>
      <c r="C456" s="7" t="s">
        <v>8</v>
      </c>
      <c r="D456" s="7" t="s">
        <v>9</v>
      </c>
      <c r="E456" s="7" t="str">
        <f>"赵蕊"</f>
        <v>赵蕊</v>
      </c>
      <c r="F456" s="7" t="str">
        <f t="shared" si="100"/>
        <v>女</v>
      </c>
      <c r="G456" s="7" t="s">
        <v>449</v>
      </c>
      <c r="H456" s="8"/>
    </row>
    <row r="457" ht="25" customHeight="1" spans="1:8">
      <c r="A457" s="6">
        <v>455</v>
      </c>
      <c r="B457" s="7" t="str">
        <f t="shared" si="101"/>
        <v>101</v>
      </c>
      <c r="C457" s="7" t="s">
        <v>8</v>
      </c>
      <c r="D457" s="7" t="s">
        <v>9</v>
      </c>
      <c r="E457" s="7" t="str">
        <f>"谭常烜"</f>
        <v>谭常烜</v>
      </c>
      <c r="F457" s="7" t="str">
        <f t="shared" ref="F457:F461" si="102">"男"</f>
        <v>男</v>
      </c>
      <c r="G457" s="7" t="s">
        <v>278</v>
      </c>
      <c r="H457" s="8"/>
    </row>
    <row r="458" ht="25" customHeight="1" spans="1:8">
      <c r="A458" s="6">
        <v>456</v>
      </c>
      <c r="B458" s="7" t="str">
        <f t="shared" si="101"/>
        <v>101</v>
      </c>
      <c r="C458" s="7" t="s">
        <v>8</v>
      </c>
      <c r="D458" s="7" t="s">
        <v>9</v>
      </c>
      <c r="E458" s="7" t="str">
        <f>"陈贤伟"</f>
        <v>陈贤伟</v>
      </c>
      <c r="F458" s="7" t="str">
        <f t="shared" si="102"/>
        <v>男</v>
      </c>
      <c r="G458" s="7" t="s">
        <v>450</v>
      </c>
      <c r="H458" s="8"/>
    </row>
    <row r="459" ht="25" customHeight="1" spans="1:8">
      <c r="A459" s="6">
        <v>457</v>
      </c>
      <c r="B459" s="7" t="str">
        <f t="shared" si="101"/>
        <v>101</v>
      </c>
      <c r="C459" s="7" t="s">
        <v>8</v>
      </c>
      <c r="D459" s="7" t="s">
        <v>9</v>
      </c>
      <c r="E459" s="7" t="str">
        <f>"封婧"</f>
        <v>封婧</v>
      </c>
      <c r="F459" s="7" t="str">
        <f t="shared" ref="F459:F462" si="103">"女"</f>
        <v>女</v>
      </c>
      <c r="G459" s="7" t="s">
        <v>451</v>
      </c>
      <c r="H459" s="8"/>
    </row>
    <row r="460" ht="25" customHeight="1" spans="1:8">
      <c r="A460" s="6">
        <v>458</v>
      </c>
      <c r="B460" s="7" t="str">
        <f t="shared" si="101"/>
        <v>101</v>
      </c>
      <c r="C460" s="7" t="s">
        <v>8</v>
      </c>
      <c r="D460" s="7" t="s">
        <v>9</v>
      </c>
      <c r="E460" s="7" t="str">
        <f>"吴琼妹"</f>
        <v>吴琼妹</v>
      </c>
      <c r="F460" s="7" t="str">
        <f t="shared" si="103"/>
        <v>女</v>
      </c>
      <c r="G460" s="7" t="s">
        <v>452</v>
      </c>
      <c r="H460" s="8"/>
    </row>
    <row r="461" ht="25" customHeight="1" spans="1:8">
      <c r="A461" s="6">
        <v>459</v>
      </c>
      <c r="B461" s="7" t="str">
        <f t="shared" si="101"/>
        <v>101</v>
      </c>
      <c r="C461" s="7" t="s">
        <v>8</v>
      </c>
      <c r="D461" s="7" t="s">
        <v>9</v>
      </c>
      <c r="E461" s="7" t="str">
        <f>"胡杰源"</f>
        <v>胡杰源</v>
      </c>
      <c r="F461" s="7" t="str">
        <f t="shared" si="102"/>
        <v>男</v>
      </c>
      <c r="G461" s="7" t="s">
        <v>453</v>
      </c>
      <c r="H461" s="8"/>
    </row>
    <row r="462" ht="25" customHeight="1" spans="1:8">
      <c r="A462" s="6">
        <v>460</v>
      </c>
      <c r="B462" s="7" t="str">
        <f t="shared" si="101"/>
        <v>101</v>
      </c>
      <c r="C462" s="7" t="s">
        <v>8</v>
      </c>
      <c r="D462" s="7" t="s">
        <v>9</v>
      </c>
      <c r="E462" s="7" t="str">
        <f>"李晨莹"</f>
        <v>李晨莹</v>
      </c>
      <c r="F462" s="7" t="str">
        <f t="shared" si="103"/>
        <v>女</v>
      </c>
      <c r="G462" s="7" t="s">
        <v>454</v>
      </c>
      <c r="H462" s="8"/>
    </row>
    <row r="463" ht="25" customHeight="1" spans="1:8">
      <c r="A463" s="6">
        <v>461</v>
      </c>
      <c r="B463" s="7" t="str">
        <f t="shared" si="101"/>
        <v>101</v>
      </c>
      <c r="C463" s="7" t="s">
        <v>8</v>
      </c>
      <c r="D463" s="7" t="s">
        <v>9</v>
      </c>
      <c r="E463" s="7" t="str">
        <f>"谭炜"</f>
        <v>谭炜</v>
      </c>
      <c r="F463" s="7" t="str">
        <f t="shared" ref="F463:F466" si="104">"男"</f>
        <v>男</v>
      </c>
      <c r="G463" s="7" t="s">
        <v>455</v>
      </c>
      <c r="H463" s="8"/>
    </row>
    <row r="464" ht="25" customHeight="1" spans="1:8">
      <c r="A464" s="6">
        <v>462</v>
      </c>
      <c r="B464" s="7" t="str">
        <f t="shared" si="101"/>
        <v>101</v>
      </c>
      <c r="C464" s="7" t="s">
        <v>8</v>
      </c>
      <c r="D464" s="7" t="s">
        <v>9</v>
      </c>
      <c r="E464" s="7" t="str">
        <f>"邓小金"</f>
        <v>邓小金</v>
      </c>
      <c r="F464" s="7" t="str">
        <f t="shared" ref="F464:F469" si="105">"女"</f>
        <v>女</v>
      </c>
      <c r="G464" s="7" t="s">
        <v>456</v>
      </c>
      <c r="H464" s="8"/>
    </row>
    <row r="465" ht="25" customHeight="1" spans="1:8">
      <c r="A465" s="6">
        <v>463</v>
      </c>
      <c r="B465" s="7" t="str">
        <f t="shared" si="101"/>
        <v>101</v>
      </c>
      <c r="C465" s="7" t="s">
        <v>8</v>
      </c>
      <c r="D465" s="7" t="s">
        <v>9</v>
      </c>
      <c r="E465" s="7" t="str">
        <f>"高凡"</f>
        <v>高凡</v>
      </c>
      <c r="F465" s="7" t="str">
        <f t="shared" si="104"/>
        <v>男</v>
      </c>
      <c r="G465" s="7" t="s">
        <v>457</v>
      </c>
      <c r="H465" s="8"/>
    </row>
    <row r="466" ht="25" customHeight="1" spans="1:8">
      <c r="A466" s="6">
        <v>464</v>
      </c>
      <c r="B466" s="7" t="str">
        <f t="shared" si="101"/>
        <v>101</v>
      </c>
      <c r="C466" s="7" t="s">
        <v>8</v>
      </c>
      <c r="D466" s="7" t="s">
        <v>9</v>
      </c>
      <c r="E466" s="7" t="str">
        <f>"陈洪培"</f>
        <v>陈洪培</v>
      </c>
      <c r="F466" s="7" t="str">
        <f t="shared" si="104"/>
        <v>男</v>
      </c>
      <c r="G466" s="7" t="s">
        <v>458</v>
      </c>
      <c r="H466" s="8"/>
    </row>
    <row r="467" ht="25" customHeight="1" spans="1:8">
      <c r="A467" s="6">
        <v>465</v>
      </c>
      <c r="B467" s="7" t="str">
        <f t="shared" si="101"/>
        <v>101</v>
      </c>
      <c r="C467" s="7" t="s">
        <v>8</v>
      </c>
      <c r="D467" s="7" t="s">
        <v>9</v>
      </c>
      <c r="E467" s="7" t="str">
        <f>"吴晶晶"</f>
        <v>吴晶晶</v>
      </c>
      <c r="F467" s="7" t="str">
        <f t="shared" si="105"/>
        <v>女</v>
      </c>
      <c r="G467" s="7" t="s">
        <v>459</v>
      </c>
      <c r="H467" s="8"/>
    </row>
    <row r="468" ht="25" customHeight="1" spans="1:8">
      <c r="A468" s="6">
        <v>466</v>
      </c>
      <c r="B468" s="7" t="str">
        <f t="shared" si="101"/>
        <v>101</v>
      </c>
      <c r="C468" s="7" t="s">
        <v>8</v>
      </c>
      <c r="D468" s="7" t="s">
        <v>9</v>
      </c>
      <c r="E468" s="7" t="str">
        <f>"李玉格"</f>
        <v>李玉格</v>
      </c>
      <c r="F468" s="7" t="str">
        <f t="shared" si="105"/>
        <v>女</v>
      </c>
      <c r="G468" s="7" t="s">
        <v>460</v>
      </c>
      <c r="H468" s="8"/>
    </row>
    <row r="469" ht="25" customHeight="1" spans="1:8">
      <c r="A469" s="6">
        <v>467</v>
      </c>
      <c r="B469" s="7" t="str">
        <f t="shared" si="101"/>
        <v>101</v>
      </c>
      <c r="C469" s="7" t="s">
        <v>8</v>
      </c>
      <c r="D469" s="7" t="s">
        <v>9</v>
      </c>
      <c r="E469" s="7" t="str">
        <f>"梁昌丽"</f>
        <v>梁昌丽</v>
      </c>
      <c r="F469" s="7" t="str">
        <f t="shared" si="105"/>
        <v>女</v>
      </c>
      <c r="G469" s="7" t="s">
        <v>461</v>
      </c>
      <c r="H469" s="8"/>
    </row>
    <row r="470" ht="25" customHeight="1" spans="1:8">
      <c r="A470" s="6">
        <v>468</v>
      </c>
      <c r="B470" s="7" t="str">
        <f t="shared" si="101"/>
        <v>101</v>
      </c>
      <c r="C470" s="7" t="s">
        <v>8</v>
      </c>
      <c r="D470" s="7" t="s">
        <v>9</v>
      </c>
      <c r="E470" s="7" t="str">
        <f>"高明智"</f>
        <v>高明智</v>
      </c>
      <c r="F470" s="7" t="str">
        <f>"男"</f>
        <v>男</v>
      </c>
      <c r="G470" s="7" t="s">
        <v>462</v>
      </c>
      <c r="H470" s="8"/>
    </row>
    <row r="471" ht="25" customHeight="1" spans="1:8">
      <c r="A471" s="6">
        <v>469</v>
      </c>
      <c r="B471" s="7" t="str">
        <f t="shared" si="101"/>
        <v>101</v>
      </c>
      <c r="C471" s="7" t="s">
        <v>8</v>
      </c>
      <c r="D471" s="7" t="s">
        <v>9</v>
      </c>
      <c r="E471" s="7" t="str">
        <f>"符明清"</f>
        <v>符明清</v>
      </c>
      <c r="F471" s="7" t="str">
        <f t="shared" ref="F471:F486" si="106">"女"</f>
        <v>女</v>
      </c>
      <c r="G471" s="7" t="s">
        <v>463</v>
      </c>
      <c r="H471" s="8"/>
    </row>
    <row r="472" ht="25" customHeight="1" spans="1:8">
      <c r="A472" s="6">
        <v>470</v>
      </c>
      <c r="B472" s="7" t="str">
        <f t="shared" si="101"/>
        <v>101</v>
      </c>
      <c r="C472" s="7" t="s">
        <v>8</v>
      </c>
      <c r="D472" s="7" t="s">
        <v>9</v>
      </c>
      <c r="E472" s="7" t="str">
        <f>"周宗海"</f>
        <v>周宗海</v>
      </c>
      <c r="F472" s="7" t="str">
        <f>"男"</f>
        <v>男</v>
      </c>
      <c r="G472" s="7" t="s">
        <v>464</v>
      </c>
      <c r="H472" s="8"/>
    </row>
    <row r="473" ht="25" customHeight="1" spans="1:8">
      <c r="A473" s="6">
        <v>471</v>
      </c>
      <c r="B473" s="7" t="str">
        <f t="shared" si="101"/>
        <v>101</v>
      </c>
      <c r="C473" s="7" t="s">
        <v>8</v>
      </c>
      <c r="D473" s="7" t="s">
        <v>9</v>
      </c>
      <c r="E473" s="7" t="str">
        <f>"王以柔"</f>
        <v>王以柔</v>
      </c>
      <c r="F473" s="7" t="str">
        <f t="shared" si="106"/>
        <v>女</v>
      </c>
      <c r="G473" s="7" t="s">
        <v>465</v>
      </c>
      <c r="H473" s="8"/>
    </row>
    <row r="474" ht="25" customHeight="1" spans="1:8">
      <c r="A474" s="6">
        <v>472</v>
      </c>
      <c r="B474" s="7" t="str">
        <f t="shared" si="101"/>
        <v>101</v>
      </c>
      <c r="C474" s="7" t="s">
        <v>8</v>
      </c>
      <c r="D474" s="7" t="s">
        <v>9</v>
      </c>
      <c r="E474" s="7" t="str">
        <f>"李梦媛"</f>
        <v>李梦媛</v>
      </c>
      <c r="F474" s="7" t="str">
        <f t="shared" si="106"/>
        <v>女</v>
      </c>
      <c r="G474" s="7" t="s">
        <v>466</v>
      </c>
      <c r="H474" s="8"/>
    </row>
    <row r="475" ht="25" customHeight="1" spans="1:8">
      <c r="A475" s="6">
        <v>473</v>
      </c>
      <c r="B475" s="7" t="str">
        <f t="shared" si="101"/>
        <v>101</v>
      </c>
      <c r="C475" s="7" t="s">
        <v>8</v>
      </c>
      <c r="D475" s="7" t="s">
        <v>9</v>
      </c>
      <c r="E475" s="7" t="str">
        <f>"江梦赢"</f>
        <v>江梦赢</v>
      </c>
      <c r="F475" s="7" t="str">
        <f t="shared" si="106"/>
        <v>女</v>
      </c>
      <c r="G475" s="7" t="s">
        <v>467</v>
      </c>
      <c r="H475" s="8"/>
    </row>
    <row r="476" ht="25" customHeight="1" spans="1:8">
      <c r="A476" s="6">
        <v>474</v>
      </c>
      <c r="B476" s="7" t="str">
        <f t="shared" si="101"/>
        <v>101</v>
      </c>
      <c r="C476" s="7" t="s">
        <v>8</v>
      </c>
      <c r="D476" s="7" t="s">
        <v>9</v>
      </c>
      <c r="E476" s="7" t="str">
        <f>"罗海琳"</f>
        <v>罗海琳</v>
      </c>
      <c r="F476" s="7" t="str">
        <f t="shared" si="106"/>
        <v>女</v>
      </c>
      <c r="G476" s="7" t="s">
        <v>468</v>
      </c>
      <c r="H476" s="8"/>
    </row>
    <row r="477" ht="25" customHeight="1" spans="1:8">
      <c r="A477" s="6">
        <v>475</v>
      </c>
      <c r="B477" s="7" t="str">
        <f t="shared" si="101"/>
        <v>101</v>
      </c>
      <c r="C477" s="7" t="s">
        <v>8</v>
      </c>
      <c r="D477" s="7" t="s">
        <v>9</v>
      </c>
      <c r="E477" s="7" t="str">
        <f>"陈巧"</f>
        <v>陈巧</v>
      </c>
      <c r="F477" s="7" t="str">
        <f t="shared" si="106"/>
        <v>女</v>
      </c>
      <c r="G477" s="7" t="s">
        <v>469</v>
      </c>
      <c r="H477" s="8"/>
    </row>
    <row r="478" ht="25" customHeight="1" spans="1:8">
      <c r="A478" s="6">
        <v>476</v>
      </c>
      <c r="B478" s="7" t="str">
        <f t="shared" si="101"/>
        <v>101</v>
      </c>
      <c r="C478" s="7" t="s">
        <v>8</v>
      </c>
      <c r="D478" s="7" t="s">
        <v>9</v>
      </c>
      <c r="E478" s="7" t="str">
        <f>"周琪"</f>
        <v>周琪</v>
      </c>
      <c r="F478" s="7" t="str">
        <f t="shared" si="106"/>
        <v>女</v>
      </c>
      <c r="G478" s="7" t="s">
        <v>470</v>
      </c>
      <c r="H478" s="8"/>
    </row>
    <row r="479" ht="25" customHeight="1" spans="1:8">
      <c r="A479" s="6">
        <v>477</v>
      </c>
      <c r="B479" s="7" t="str">
        <f t="shared" si="101"/>
        <v>101</v>
      </c>
      <c r="C479" s="7" t="s">
        <v>8</v>
      </c>
      <c r="D479" s="7" t="s">
        <v>9</v>
      </c>
      <c r="E479" s="7" t="str">
        <f>"曾琳"</f>
        <v>曾琳</v>
      </c>
      <c r="F479" s="7" t="str">
        <f t="shared" si="106"/>
        <v>女</v>
      </c>
      <c r="G479" s="7" t="s">
        <v>471</v>
      </c>
      <c r="H479" s="8"/>
    </row>
    <row r="480" ht="25" customHeight="1" spans="1:8">
      <c r="A480" s="6">
        <v>478</v>
      </c>
      <c r="B480" s="7" t="str">
        <f t="shared" si="101"/>
        <v>101</v>
      </c>
      <c r="C480" s="7" t="s">
        <v>8</v>
      </c>
      <c r="D480" s="7" t="s">
        <v>9</v>
      </c>
      <c r="E480" s="7" t="str">
        <f>"陶珏莹"</f>
        <v>陶珏莹</v>
      </c>
      <c r="F480" s="7" t="str">
        <f t="shared" si="106"/>
        <v>女</v>
      </c>
      <c r="G480" s="7" t="s">
        <v>472</v>
      </c>
      <c r="H480" s="8"/>
    </row>
    <row r="481" ht="25" customHeight="1" spans="1:8">
      <c r="A481" s="6">
        <v>479</v>
      </c>
      <c r="B481" s="7" t="str">
        <f t="shared" si="101"/>
        <v>101</v>
      </c>
      <c r="C481" s="7" t="s">
        <v>8</v>
      </c>
      <c r="D481" s="7" t="s">
        <v>9</v>
      </c>
      <c r="E481" s="7" t="str">
        <f>"谢雨芯"</f>
        <v>谢雨芯</v>
      </c>
      <c r="F481" s="7" t="str">
        <f t="shared" si="106"/>
        <v>女</v>
      </c>
      <c r="G481" s="7" t="s">
        <v>473</v>
      </c>
      <c r="H481" s="8"/>
    </row>
    <row r="482" ht="25" customHeight="1" spans="1:8">
      <c r="A482" s="6">
        <v>480</v>
      </c>
      <c r="B482" s="7" t="str">
        <f t="shared" si="101"/>
        <v>101</v>
      </c>
      <c r="C482" s="7" t="s">
        <v>8</v>
      </c>
      <c r="D482" s="7" t="s">
        <v>9</v>
      </c>
      <c r="E482" s="7" t="str">
        <f>"何丹花"</f>
        <v>何丹花</v>
      </c>
      <c r="F482" s="7" t="str">
        <f t="shared" si="106"/>
        <v>女</v>
      </c>
      <c r="G482" s="7" t="s">
        <v>474</v>
      </c>
      <c r="H482" s="8"/>
    </row>
    <row r="483" ht="25" customHeight="1" spans="1:8">
      <c r="A483" s="6">
        <v>481</v>
      </c>
      <c r="B483" s="7" t="str">
        <f t="shared" si="101"/>
        <v>101</v>
      </c>
      <c r="C483" s="7" t="s">
        <v>8</v>
      </c>
      <c r="D483" s="7" t="s">
        <v>9</v>
      </c>
      <c r="E483" s="7" t="str">
        <f>"陈熔蓉"</f>
        <v>陈熔蓉</v>
      </c>
      <c r="F483" s="7" t="str">
        <f t="shared" si="106"/>
        <v>女</v>
      </c>
      <c r="G483" s="7" t="s">
        <v>338</v>
      </c>
      <c r="H483" s="8"/>
    </row>
    <row r="484" ht="25" customHeight="1" spans="1:8">
      <c r="A484" s="6">
        <v>482</v>
      </c>
      <c r="B484" s="7" t="str">
        <f t="shared" si="101"/>
        <v>101</v>
      </c>
      <c r="C484" s="7" t="s">
        <v>8</v>
      </c>
      <c r="D484" s="7" t="s">
        <v>9</v>
      </c>
      <c r="E484" s="7" t="str">
        <f>"丁丽珠"</f>
        <v>丁丽珠</v>
      </c>
      <c r="F484" s="7" t="str">
        <f t="shared" si="106"/>
        <v>女</v>
      </c>
      <c r="G484" s="7" t="s">
        <v>475</v>
      </c>
      <c r="H484" s="8"/>
    </row>
    <row r="485" ht="25" customHeight="1" spans="1:8">
      <c r="A485" s="6">
        <v>483</v>
      </c>
      <c r="B485" s="7" t="str">
        <f t="shared" si="101"/>
        <v>101</v>
      </c>
      <c r="C485" s="7" t="s">
        <v>8</v>
      </c>
      <c r="D485" s="7" t="s">
        <v>9</v>
      </c>
      <c r="E485" s="7" t="str">
        <f>"王晴"</f>
        <v>王晴</v>
      </c>
      <c r="F485" s="7" t="str">
        <f t="shared" si="106"/>
        <v>女</v>
      </c>
      <c r="G485" s="7" t="s">
        <v>476</v>
      </c>
      <c r="H485" s="8"/>
    </row>
    <row r="486" ht="25" customHeight="1" spans="1:8">
      <c r="A486" s="6">
        <v>484</v>
      </c>
      <c r="B486" s="7" t="str">
        <f t="shared" si="101"/>
        <v>101</v>
      </c>
      <c r="C486" s="7" t="s">
        <v>8</v>
      </c>
      <c r="D486" s="7" t="s">
        <v>9</v>
      </c>
      <c r="E486" s="7" t="str">
        <f>"袁冬英"</f>
        <v>袁冬英</v>
      </c>
      <c r="F486" s="7" t="str">
        <f t="shared" si="106"/>
        <v>女</v>
      </c>
      <c r="G486" s="7" t="s">
        <v>477</v>
      </c>
      <c r="H486" s="8"/>
    </row>
    <row r="487" ht="25" customHeight="1" spans="1:8">
      <c r="A487" s="6">
        <v>485</v>
      </c>
      <c r="B487" s="7" t="str">
        <f t="shared" si="101"/>
        <v>101</v>
      </c>
      <c r="C487" s="7" t="s">
        <v>8</v>
      </c>
      <c r="D487" s="7" t="s">
        <v>9</v>
      </c>
      <c r="E487" s="7" t="str">
        <f>"陈涛"</f>
        <v>陈涛</v>
      </c>
      <c r="F487" s="7" t="str">
        <f>"男"</f>
        <v>男</v>
      </c>
      <c r="G487" s="7" t="s">
        <v>478</v>
      </c>
      <c r="H487" s="8"/>
    </row>
    <row r="488" ht="25" customHeight="1" spans="1:8">
      <c r="A488" s="6">
        <v>486</v>
      </c>
      <c r="B488" s="7" t="str">
        <f t="shared" si="101"/>
        <v>101</v>
      </c>
      <c r="C488" s="7" t="s">
        <v>8</v>
      </c>
      <c r="D488" s="7" t="s">
        <v>9</v>
      </c>
      <c r="E488" s="7" t="str">
        <f>"吴天武"</f>
        <v>吴天武</v>
      </c>
      <c r="F488" s="7" t="str">
        <f>"男"</f>
        <v>男</v>
      </c>
      <c r="G488" s="7" t="s">
        <v>479</v>
      </c>
      <c r="H488" s="8"/>
    </row>
    <row r="489" ht="25" customHeight="1" spans="1:8">
      <c r="A489" s="6">
        <v>487</v>
      </c>
      <c r="B489" s="7" t="str">
        <f t="shared" si="101"/>
        <v>101</v>
      </c>
      <c r="C489" s="7" t="s">
        <v>8</v>
      </c>
      <c r="D489" s="7" t="s">
        <v>9</v>
      </c>
      <c r="E489" s="7" t="str">
        <f>"文玉珠"</f>
        <v>文玉珠</v>
      </c>
      <c r="F489" s="7" t="str">
        <f t="shared" ref="F489:F493" si="107">"女"</f>
        <v>女</v>
      </c>
      <c r="G489" s="7" t="s">
        <v>480</v>
      </c>
      <c r="H489" s="8"/>
    </row>
    <row r="490" ht="25" customHeight="1" spans="1:8">
      <c r="A490" s="6">
        <v>488</v>
      </c>
      <c r="B490" s="7" t="str">
        <f t="shared" si="101"/>
        <v>101</v>
      </c>
      <c r="C490" s="7" t="s">
        <v>8</v>
      </c>
      <c r="D490" s="7" t="s">
        <v>9</v>
      </c>
      <c r="E490" s="7" t="str">
        <f>"蕉慧杰"</f>
        <v>蕉慧杰</v>
      </c>
      <c r="F490" s="7" t="str">
        <f t="shared" si="107"/>
        <v>女</v>
      </c>
      <c r="G490" s="7" t="s">
        <v>481</v>
      </c>
      <c r="H490" s="8"/>
    </row>
    <row r="491" ht="25" customHeight="1" spans="1:8">
      <c r="A491" s="6">
        <v>489</v>
      </c>
      <c r="B491" s="7" t="str">
        <f t="shared" si="101"/>
        <v>101</v>
      </c>
      <c r="C491" s="7" t="s">
        <v>8</v>
      </c>
      <c r="D491" s="7" t="s">
        <v>9</v>
      </c>
      <c r="E491" s="7" t="str">
        <f>"谢欣蓉"</f>
        <v>谢欣蓉</v>
      </c>
      <c r="F491" s="7" t="str">
        <f t="shared" si="107"/>
        <v>女</v>
      </c>
      <c r="G491" s="7" t="s">
        <v>482</v>
      </c>
      <c r="H491" s="8"/>
    </row>
    <row r="492" ht="25" customHeight="1" spans="1:8">
      <c r="A492" s="6">
        <v>490</v>
      </c>
      <c r="B492" s="7" t="str">
        <f t="shared" si="101"/>
        <v>101</v>
      </c>
      <c r="C492" s="7" t="s">
        <v>8</v>
      </c>
      <c r="D492" s="7" t="s">
        <v>9</v>
      </c>
      <c r="E492" s="7" t="str">
        <f>"董晓文"</f>
        <v>董晓文</v>
      </c>
      <c r="F492" s="7" t="str">
        <f t="shared" si="107"/>
        <v>女</v>
      </c>
      <c r="G492" s="7" t="s">
        <v>483</v>
      </c>
      <c r="H492" s="8"/>
    </row>
    <row r="493" ht="25" customHeight="1" spans="1:8">
      <c r="A493" s="6">
        <v>491</v>
      </c>
      <c r="B493" s="7" t="str">
        <f t="shared" si="101"/>
        <v>101</v>
      </c>
      <c r="C493" s="7" t="s">
        <v>8</v>
      </c>
      <c r="D493" s="7" t="s">
        <v>9</v>
      </c>
      <c r="E493" s="7" t="str">
        <f>"曹东民"</f>
        <v>曹东民</v>
      </c>
      <c r="F493" s="7" t="str">
        <f t="shared" si="107"/>
        <v>女</v>
      </c>
      <c r="G493" s="7" t="s">
        <v>484</v>
      </c>
      <c r="H493" s="8"/>
    </row>
    <row r="494" ht="25" customHeight="1" spans="1:8">
      <c r="A494" s="6">
        <v>492</v>
      </c>
      <c r="B494" s="7" t="str">
        <f t="shared" si="101"/>
        <v>101</v>
      </c>
      <c r="C494" s="7" t="s">
        <v>8</v>
      </c>
      <c r="D494" s="7" t="s">
        <v>9</v>
      </c>
      <c r="E494" s="7" t="str">
        <f>"朱锐智"</f>
        <v>朱锐智</v>
      </c>
      <c r="F494" s="7" t="str">
        <f t="shared" ref="F494:F497" si="108">"男"</f>
        <v>男</v>
      </c>
      <c r="G494" s="7" t="s">
        <v>249</v>
      </c>
      <c r="H494" s="8"/>
    </row>
    <row r="495" ht="25" customHeight="1" spans="1:8">
      <c r="A495" s="6">
        <v>493</v>
      </c>
      <c r="B495" s="7" t="str">
        <f t="shared" si="101"/>
        <v>101</v>
      </c>
      <c r="C495" s="7" t="s">
        <v>8</v>
      </c>
      <c r="D495" s="7" t="s">
        <v>9</v>
      </c>
      <c r="E495" s="7" t="str">
        <f>"刘江"</f>
        <v>刘江</v>
      </c>
      <c r="F495" s="7" t="str">
        <f t="shared" si="108"/>
        <v>男</v>
      </c>
      <c r="G495" s="7" t="s">
        <v>485</v>
      </c>
      <c r="H495" s="8"/>
    </row>
    <row r="496" ht="25" customHeight="1" spans="1:8">
      <c r="A496" s="6">
        <v>494</v>
      </c>
      <c r="B496" s="7" t="str">
        <f t="shared" si="101"/>
        <v>101</v>
      </c>
      <c r="C496" s="7" t="s">
        <v>8</v>
      </c>
      <c r="D496" s="7" t="s">
        <v>9</v>
      </c>
      <c r="E496" s="7" t="str">
        <f>"李暄"</f>
        <v>李暄</v>
      </c>
      <c r="F496" s="7" t="str">
        <f t="shared" ref="F496:F511" si="109">"女"</f>
        <v>女</v>
      </c>
      <c r="G496" s="7" t="s">
        <v>486</v>
      </c>
      <c r="H496" s="8"/>
    </row>
    <row r="497" ht="25" customHeight="1" spans="1:8">
      <c r="A497" s="6">
        <v>495</v>
      </c>
      <c r="B497" s="7" t="str">
        <f t="shared" si="101"/>
        <v>101</v>
      </c>
      <c r="C497" s="7" t="s">
        <v>8</v>
      </c>
      <c r="D497" s="7" t="s">
        <v>9</v>
      </c>
      <c r="E497" s="7" t="str">
        <f>"董乾真"</f>
        <v>董乾真</v>
      </c>
      <c r="F497" s="7" t="str">
        <f t="shared" si="108"/>
        <v>男</v>
      </c>
      <c r="G497" s="7" t="s">
        <v>487</v>
      </c>
      <c r="H497" s="8"/>
    </row>
    <row r="498" ht="25" customHeight="1" spans="1:8">
      <c r="A498" s="6">
        <v>496</v>
      </c>
      <c r="B498" s="7" t="str">
        <f t="shared" si="101"/>
        <v>101</v>
      </c>
      <c r="C498" s="7" t="s">
        <v>8</v>
      </c>
      <c r="D498" s="7" t="s">
        <v>9</v>
      </c>
      <c r="E498" s="7" t="str">
        <f>"卢小莉"</f>
        <v>卢小莉</v>
      </c>
      <c r="F498" s="7" t="str">
        <f t="shared" si="109"/>
        <v>女</v>
      </c>
      <c r="G498" s="7" t="s">
        <v>488</v>
      </c>
      <c r="H498" s="8"/>
    </row>
    <row r="499" ht="25" customHeight="1" spans="1:8">
      <c r="A499" s="6">
        <v>497</v>
      </c>
      <c r="B499" s="7" t="str">
        <f t="shared" si="101"/>
        <v>101</v>
      </c>
      <c r="C499" s="7" t="s">
        <v>8</v>
      </c>
      <c r="D499" s="7" t="s">
        <v>9</v>
      </c>
      <c r="E499" s="7" t="str">
        <f>"龚子瑶"</f>
        <v>龚子瑶</v>
      </c>
      <c r="F499" s="7" t="str">
        <f t="shared" si="109"/>
        <v>女</v>
      </c>
      <c r="G499" s="7" t="s">
        <v>489</v>
      </c>
      <c r="H499" s="8"/>
    </row>
    <row r="500" ht="25" customHeight="1" spans="1:8">
      <c r="A500" s="6">
        <v>498</v>
      </c>
      <c r="B500" s="7" t="str">
        <f t="shared" si="101"/>
        <v>101</v>
      </c>
      <c r="C500" s="7" t="s">
        <v>8</v>
      </c>
      <c r="D500" s="7" t="s">
        <v>9</v>
      </c>
      <c r="E500" s="7" t="str">
        <f>"赵江丽"</f>
        <v>赵江丽</v>
      </c>
      <c r="F500" s="7" t="str">
        <f t="shared" si="109"/>
        <v>女</v>
      </c>
      <c r="G500" s="7" t="s">
        <v>449</v>
      </c>
      <c r="H500" s="8"/>
    </row>
    <row r="501" ht="25" customHeight="1" spans="1:8">
      <c r="A501" s="6">
        <v>499</v>
      </c>
      <c r="B501" s="7" t="str">
        <f t="shared" si="101"/>
        <v>101</v>
      </c>
      <c r="C501" s="7" t="s">
        <v>8</v>
      </c>
      <c r="D501" s="7" t="s">
        <v>9</v>
      </c>
      <c r="E501" s="7" t="str">
        <f>"喻淋"</f>
        <v>喻淋</v>
      </c>
      <c r="F501" s="7" t="str">
        <f t="shared" si="109"/>
        <v>女</v>
      </c>
      <c r="G501" s="7" t="s">
        <v>490</v>
      </c>
      <c r="H501" s="8"/>
    </row>
    <row r="502" ht="25" customHeight="1" spans="1:8">
      <c r="A502" s="6">
        <v>500</v>
      </c>
      <c r="B502" s="7" t="str">
        <f t="shared" si="101"/>
        <v>101</v>
      </c>
      <c r="C502" s="7" t="s">
        <v>8</v>
      </c>
      <c r="D502" s="7" t="s">
        <v>9</v>
      </c>
      <c r="E502" s="7" t="str">
        <f>"吴妹"</f>
        <v>吴妹</v>
      </c>
      <c r="F502" s="7" t="str">
        <f t="shared" si="109"/>
        <v>女</v>
      </c>
      <c r="G502" s="7" t="s">
        <v>491</v>
      </c>
      <c r="H502" s="8"/>
    </row>
    <row r="503" ht="25" customHeight="1" spans="1:8">
      <c r="A503" s="6">
        <v>501</v>
      </c>
      <c r="B503" s="7" t="str">
        <f t="shared" si="101"/>
        <v>101</v>
      </c>
      <c r="C503" s="7" t="s">
        <v>8</v>
      </c>
      <c r="D503" s="7" t="s">
        <v>9</v>
      </c>
      <c r="E503" s="7" t="str">
        <f>"谢雨荷"</f>
        <v>谢雨荷</v>
      </c>
      <c r="F503" s="7" t="str">
        <f t="shared" si="109"/>
        <v>女</v>
      </c>
      <c r="G503" s="7" t="s">
        <v>492</v>
      </c>
      <c r="H503" s="8"/>
    </row>
    <row r="504" ht="25" customHeight="1" spans="1:8">
      <c r="A504" s="6">
        <v>502</v>
      </c>
      <c r="B504" s="7" t="str">
        <f t="shared" si="101"/>
        <v>101</v>
      </c>
      <c r="C504" s="7" t="s">
        <v>8</v>
      </c>
      <c r="D504" s="7" t="s">
        <v>9</v>
      </c>
      <c r="E504" s="7" t="str">
        <f>"张豪颖"</f>
        <v>张豪颖</v>
      </c>
      <c r="F504" s="7" t="str">
        <f t="shared" si="109"/>
        <v>女</v>
      </c>
      <c r="G504" s="7" t="s">
        <v>493</v>
      </c>
      <c r="H504" s="8"/>
    </row>
    <row r="505" ht="25" customHeight="1" spans="1:8">
      <c r="A505" s="6">
        <v>503</v>
      </c>
      <c r="B505" s="7" t="str">
        <f t="shared" si="101"/>
        <v>101</v>
      </c>
      <c r="C505" s="7" t="s">
        <v>8</v>
      </c>
      <c r="D505" s="7" t="s">
        <v>9</v>
      </c>
      <c r="E505" s="7" t="str">
        <f>"冯薇薇"</f>
        <v>冯薇薇</v>
      </c>
      <c r="F505" s="7" t="str">
        <f t="shared" si="109"/>
        <v>女</v>
      </c>
      <c r="G505" s="7" t="s">
        <v>494</v>
      </c>
      <c r="H505" s="8"/>
    </row>
    <row r="506" ht="25" customHeight="1" spans="1:8">
      <c r="A506" s="6">
        <v>504</v>
      </c>
      <c r="B506" s="7" t="str">
        <f t="shared" si="101"/>
        <v>101</v>
      </c>
      <c r="C506" s="7" t="s">
        <v>8</v>
      </c>
      <c r="D506" s="7" t="s">
        <v>9</v>
      </c>
      <c r="E506" s="7" t="str">
        <f>"王秀敏"</f>
        <v>王秀敏</v>
      </c>
      <c r="F506" s="7" t="str">
        <f t="shared" si="109"/>
        <v>女</v>
      </c>
      <c r="G506" s="7" t="s">
        <v>495</v>
      </c>
      <c r="H506" s="8"/>
    </row>
    <row r="507" ht="25" customHeight="1" spans="1:8">
      <c r="A507" s="6">
        <v>505</v>
      </c>
      <c r="B507" s="7" t="str">
        <f t="shared" si="101"/>
        <v>101</v>
      </c>
      <c r="C507" s="7" t="s">
        <v>8</v>
      </c>
      <c r="D507" s="7" t="s">
        <v>9</v>
      </c>
      <c r="E507" s="7" t="str">
        <f>"张梓月"</f>
        <v>张梓月</v>
      </c>
      <c r="F507" s="7" t="str">
        <f t="shared" si="109"/>
        <v>女</v>
      </c>
      <c r="G507" s="7" t="s">
        <v>496</v>
      </c>
      <c r="H507" s="8"/>
    </row>
    <row r="508" ht="25" customHeight="1" spans="1:8">
      <c r="A508" s="6">
        <v>506</v>
      </c>
      <c r="B508" s="7" t="str">
        <f t="shared" si="101"/>
        <v>101</v>
      </c>
      <c r="C508" s="7" t="s">
        <v>8</v>
      </c>
      <c r="D508" s="7" t="s">
        <v>9</v>
      </c>
      <c r="E508" s="7" t="str">
        <f>"文连晶"</f>
        <v>文连晶</v>
      </c>
      <c r="F508" s="7" t="str">
        <f t="shared" si="109"/>
        <v>女</v>
      </c>
      <c r="G508" s="7" t="s">
        <v>497</v>
      </c>
      <c r="H508" s="8"/>
    </row>
    <row r="509" ht="25" customHeight="1" spans="1:8">
      <c r="A509" s="6">
        <v>507</v>
      </c>
      <c r="B509" s="7" t="str">
        <f t="shared" si="101"/>
        <v>101</v>
      </c>
      <c r="C509" s="7" t="s">
        <v>8</v>
      </c>
      <c r="D509" s="7" t="s">
        <v>9</v>
      </c>
      <c r="E509" s="7" t="str">
        <f>"邢增柳"</f>
        <v>邢增柳</v>
      </c>
      <c r="F509" s="7" t="str">
        <f t="shared" si="109"/>
        <v>女</v>
      </c>
      <c r="G509" s="7" t="s">
        <v>498</v>
      </c>
      <c r="H509" s="8"/>
    </row>
    <row r="510" ht="25" customHeight="1" spans="1:8">
      <c r="A510" s="6">
        <v>508</v>
      </c>
      <c r="B510" s="7" t="str">
        <f t="shared" si="101"/>
        <v>101</v>
      </c>
      <c r="C510" s="7" t="s">
        <v>8</v>
      </c>
      <c r="D510" s="7" t="s">
        <v>9</v>
      </c>
      <c r="E510" s="7" t="str">
        <f>"王耀月"</f>
        <v>王耀月</v>
      </c>
      <c r="F510" s="7" t="str">
        <f t="shared" si="109"/>
        <v>女</v>
      </c>
      <c r="G510" s="7" t="s">
        <v>499</v>
      </c>
      <c r="H510" s="8"/>
    </row>
    <row r="511" ht="25" customHeight="1" spans="1:8">
      <c r="A511" s="6">
        <v>509</v>
      </c>
      <c r="B511" s="7" t="str">
        <f t="shared" si="101"/>
        <v>101</v>
      </c>
      <c r="C511" s="7" t="s">
        <v>8</v>
      </c>
      <c r="D511" s="7" t="s">
        <v>9</v>
      </c>
      <c r="E511" s="7" t="str">
        <f>"陈静"</f>
        <v>陈静</v>
      </c>
      <c r="F511" s="7" t="str">
        <f t="shared" si="109"/>
        <v>女</v>
      </c>
      <c r="G511" s="7" t="s">
        <v>500</v>
      </c>
      <c r="H511" s="8"/>
    </row>
    <row r="512" ht="25" customHeight="1" spans="1:8">
      <c r="A512" s="6">
        <v>510</v>
      </c>
      <c r="B512" s="7" t="str">
        <f t="shared" si="101"/>
        <v>101</v>
      </c>
      <c r="C512" s="7" t="s">
        <v>8</v>
      </c>
      <c r="D512" s="7" t="s">
        <v>9</v>
      </c>
      <c r="E512" s="7" t="str">
        <f>"吴永良"</f>
        <v>吴永良</v>
      </c>
      <c r="F512" s="7" t="str">
        <f>"男"</f>
        <v>男</v>
      </c>
      <c r="G512" s="7" t="s">
        <v>501</v>
      </c>
      <c r="H512" s="8"/>
    </row>
    <row r="513" ht="25" customHeight="1" spans="1:8">
      <c r="A513" s="6">
        <v>511</v>
      </c>
      <c r="B513" s="7" t="str">
        <f t="shared" si="101"/>
        <v>101</v>
      </c>
      <c r="C513" s="7" t="s">
        <v>8</v>
      </c>
      <c r="D513" s="7" t="s">
        <v>9</v>
      </c>
      <c r="E513" s="7" t="str">
        <f>"林艳珍"</f>
        <v>林艳珍</v>
      </c>
      <c r="F513" s="7" t="str">
        <f t="shared" ref="F513:F518" si="110">"女"</f>
        <v>女</v>
      </c>
      <c r="G513" s="7" t="s">
        <v>502</v>
      </c>
      <c r="H513" s="8"/>
    </row>
    <row r="514" ht="25" customHeight="1" spans="1:8">
      <c r="A514" s="6">
        <v>512</v>
      </c>
      <c r="B514" s="7" t="str">
        <f t="shared" si="101"/>
        <v>101</v>
      </c>
      <c r="C514" s="7" t="s">
        <v>8</v>
      </c>
      <c r="D514" s="7" t="s">
        <v>9</v>
      </c>
      <c r="E514" s="7" t="str">
        <f>"高楚雅"</f>
        <v>高楚雅</v>
      </c>
      <c r="F514" s="7" t="str">
        <f t="shared" si="110"/>
        <v>女</v>
      </c>
      <c r="G514" s="7" t="s">
        <v>503</v>
      </c>
      <c r="H514" s="8"/>
    </row>
    <row r="515" ht="25" customHeight="1" spans="1:8">
      <c r="A515" s="6">
        <v>513</v>
      </c>
      <c r="B515" s="7" t="str">
        <f t="shared" ref="B515:B578" si="111">"101"</f>
        <v>101</v>
      </c>
      <c r="C515" s="7" t="s">
        <v>8</v>
      </c>
      <c r="D515" s="7" t="s">
        <v>9</v>
      </c>
      <c r="E515" s="7" t="str">
        <f>"肖雨欣"</f>
        <v>肖雨欣</v>
      </c>
      <c r="F515" s="7" t="str">
        <f t="shared" si="110"/>
        <v>女</v>
      </c>
      <c r="G515" s="7" t="s">
        <v>504</v>
      </c>
      <c r="H515" s="8"/>
    </row>
    <row r="516" ht="25" customHeight="1" spans="1:8">
      <c r="A516" s="6">
        <v>514</v>
      </c>
      <c r="B516" s="7" t="str">
        <f t="shared" si="111"/>
        <v>101</v>
      </c>
      <c r="C516" s="7" t="s">
        <v>8</v>
      </c>
      <c r="D516" s="7" t="s">
        <v>9</v>
      </c>
      <c r="E516" s="7" t="str">
        <f>"吴瑞旭"</f>
        <v>吴瑞旭</v>
      </c>
      <c r="F516" s="7" t="str">
        <f t="shared" si="110"/>
        <v>女</v>
      </c>
      <c r="G516" s="7" t="s">
        <v>505</v>
      </c>
      <c r="H516" s="8"/>
    </row>
    <row r="517" ht="25" customHeight="1" spans="1:8">
      <c r="A517" s="6">
        <v>515</v>
      </c>
      <c r="B517" s="7" t="str">
        <f t="shared" si="111"/>
        <v>101</v>
      </c>
      <c r="C517" s="7" t="s">
        <v>8</v>
      </c>
      <c r="D517" s="7" t="s">
        <v>9</v>
      </c>
      <c r="E517" s="7" t="str">
        <f>"陈玉惠"</f>
        <v>陈玉惠</v>
      </c>
      <c r="F517" s="7" t="str">
        <f t="shared" si="110"/>
        <v>女</v>
      </c>
      <c r="G517" s="7" t="s">
        <v>506</v>
      </c>
      <c r="H517" s="8"/>
    </row>
    <row r="518" ht="25" customHeight="1" spans="1:8">
      <c r="A518" s="6">
        <v>516</v>
      </c>
      <c r="B518" s="7" t="str">
        <f t="shared" si="111"/>
        <v>101</v>
      </c>
      <c r="C518" s="7" t="s">
        <v>8</v>
      </c>
      <c r="D518" s="7" t="s">
        <v>9</v>
      </c>
      <c r="E518" s="7" t="str">
        <f>"陈初月"</f>
        <v>陈初月</v>
      </c>
      <c r="F518" s="7" t="str">
        <f t="shared" si="110"/>
        <v>女</v>
      </c>
      <c r="G518" s="7" t="s">
        <v>507</v>
      </c>
      <c r="H518" s="8"/>
    </row>
    <row r="519" ht="25" customHeight="1" spans="1:8">
      <c r="A519" s="6">
        <v>517</v>
      </c>
      <c r="B519" s="7" t="str">
        <f t="shared" si="111"/>
        <v>101</v>
      </c>
      <c r="C519" s="7" t="s">
        <v>8</v>
      </c>
      <c r="D519" s="7" t="s">
        <v>9</v>
      </c>
      <c r="E519" s="7" t="str">
        <f>"王宏达"</f>
        <v>王宏达</v>
      </c>
      <c r="F519" s="7" t="str">
        <f t="shared" ref="F519:F524" si="112">"男"</f>
        <v>男</v>
      </c>
      <c r="G519" s="7" t="s">
        <v>508</v>
      </c>
      <c r="H519" s="8"/>
    </row>
    <row r="520" ht="25" customHeight="1" spans="1:8">
      <c r="A520" s="6">
        <v>518</v>
      </c>
      <c r="B520" s="7" t="str">
        <f t="shared" si="111"/>
        <v>101</v>
      </c>
      <c r="C520" s="7" t="s">
        <v>8</v>
      </c>
      <c r="D520" s="7" t="s">
        <v>9</v>
      </c>
      <c r="E520" s="7" t="str">
        <f>"王燕"</f>
        <v>王燕</v>
      </c>
      <c r="F520" s="7" t="str">
        <f t="shared" ref="F520:F529" si="113">"女"</f>
        <v>女</v>
      </c>
      <c r="G520" s="7" t="s">
        <v>509</v>
      </c>
      <c r="H520" s="8"/>
    </row>
    <row r="521" ht="25" customHeight="1" spans="1:8">
      <c r="A521" s="6">
        <v>519</v>
      </c>
      <c r="B521" s="7" t="str">
        <f t="shared" si="111"/>
        <v>101</v>
      </c>
      <c r="C521" s="7" t="s">
        <v>8</v>
      </c>
      <c r="D521" s="7" t="s">
        <v>9</v>
      </c>
      <c r="E521" s="7" t="str">
        <f>"翁中瑞"</f>
        <v>翁中瑞</v>
      </c>
      <c r="F521" s="7" t="str">
        <f t="shared" si="112"/>
        <v>男</v>
      </c>
      <c r="G521" s="7" t="s">
        <v>510</v>
      </c>
      <c r="H521" s="8"/>
    </row>
    <row r="522" ht="25" customHeight="1" spans="1:8">
      <c r="A522" s="6">
        <v>520</v>
      </c>
      <c r="B522" s="7" t="str">
        <f t="shared" si="111"/>
        <v>101</v>
      </c>
      <c r="C522" s="7" t="s">
        <v>8</v>
      </c>
      <c r="D522" s="7" t="s">
        <v>9</v>
      </c>
      <c r="E522" s="7" t="str">
        <f>"张婉玉"</f>
        <v>张婉玉</v>
      </c>
      <c r="F522" s="7" t="str">
        <f t="shared" si="113"/>
        <v>女</v>
      </c>
      <c r="G522" s="7" t="s">
        <v>511</v>
      </c>
      <c r="H522" s="8"/>
    </row>
    <row r="523" ht="25" customHeight="1" spans="1:8">
      <c r="A523" s="6">
        <v>521</v>
      </c>
      <c r="B523" s="7" t="str">
        <f t="shared" si="111"/>
        <v>101</v>
      </c>
      <c r="C523" s="7" t="s">
        <v>8</v>
      </c>
      <c r="D523" s="7" t="s">
        <v>9</v>
      </c>
      <c r="E523" s="7" t="str">
        <f>"贺淳羿"</f>
        <v>贺淳羿</v>
      </c>
      <c r="F523" s="7" t="str">
        <f t="shared" si="112"/>
        <v>男</v>
      </c>
      <c r="G523" s="7" t="s">
        <v>512</v>
      </c>
      <c r="H523" s="8"/>
    </row>
    <row r="524" ht="25" customHeight="1" spans="1:8">
      <c r="A524" s="6">
        <v>522</v>
      </c>
      <c r="B524" s="7" t="str">
        <f t="shared" si="111"/>
        <v>101</v>
      </c>
      <c r="C524" s="7" t="s">
        <v>8</v>
      </c>
      <c r="D524" s="7" t="s">
        <v>9</v>
      </c>
      <c r="E524" s="7" t="str">
        <f>"梁亦佳"</f>
        <v>梁亦佳</v>
      </c>
      <c r="F524" s="7" t="str">
        <f t="shared" si="112"/>
        <v>男</v>
      </c>
      <c r="G524" s="7" t="s">
        <v>513</v>
      </c>
      <c r="H524" s="8"/>
    </row>
    <row r="525" ht="25" customHeight="1" spans="1:8">
      <c r="A525" s="6">
        <v>523</v>
      </c>
      <c r="B525" s="7" t="str">
        <f t="shared" si="111"/>
        <v>101</v>
      </c>
      <c r="C525" s="7" t="s">
        <v>8</v>
      </c>
      <c r="D525" s="7" t="s">
        <v>9</v>
      </c>
      <c r="E525" s="7" t="str">
        <f>"覃依琳"</f>
        <v>覃依琳</v>
      </c>
      <c r="F525" s="7" t="str">
        <f t="shared" si="113"/>
        <v>女</v>
      </c>
      <c r="G525" s="7" t="s">
        <v>514</v>
      </c>
      <c r="H525" s="8"/>
    </row>
    <row r="526" ht="25" customHeight="1" spans="1:8">
      <c r="A526" s="6">
        <v>524</v>
      </c>
      <c r="B526" s="7" t="str">
        <f t="shared" si="111"/>
        <v>101</v>
      </c>
      <c r="C526" s="7" t="s">
        <v>8</v>
      </c>
      <c r="D526" s="7" t="s">
        <v>9</v>
      </c>
      <c r="E526" s="7" t="str">
        <f>"马美林"</f>
        <v>马美林</v>
      </c>
      <c r="F526" s="7" t="str">
        <f t="shared" si="113"/>
        <v>女</v>
      </c>
      <c r="G526" s="7" t="s">
        <v>515</v>
      </c>
      <c r="H526" s="8"/>
    </row>
    <row r="527" ht="25" customHeight="1" spans="1:8">
      <c r="A527" s="6">
        <v>525</v>
      </c>
      <c r="B527" s="7" t="str">
        <f t="shared" si="111"/>
        <v>101</v>
      </c>
      <c r="C527" s="7" t="s">
        <v>8</v>
      </c>
      <c r="D527" s="7" t="s">
        <v>9</v>
      </c>
      <c r="E527" s="7" t="str">
        <f>"叶婷婷"</f>
        <v>叶婷婷</v>
      </c>
      <c r="F527" s="7" t="str">
        <f t="shared" si="113"/>
        <v>女</v>
      </c>
      <c r="G527" s="7" t="s">
        <v>516</v>
      </c>
      <c r="H527" s="8"/>
    </row>
    <row r="528" ht="25" customHeight="1" spans="1:8">
      <c r="A528" s="6">
        <v>526</v>
      </c>
      <c r="B528" s="7" t="str">
        <f t="shared" si="111"/>
        <v>101</v>
      </c>
      <c r="C528" s="7" t="s">
        <v>8</v>
      </c>
      <c r="D528" s="7" t="s">
        <v>9</v>
      </c>
      <c r="E528" s="7" t="str">
        <f>"邓心怡"</f>
        <v>邓心怡</v>
      </c>
      <c r="F528" s="7" t="str">
        <f t="shared" si="113"/>
        <v>女</v>
      </c>
      <c r="G528" s="7" t="s">
        <v>517</v>
      </c>
      <c r="H528" s="8"/>
    </row>
    <row r="529" ht="25" customHeight="1" spans="1:8">
      <c r="A529" s="6">
        <v>527</v>
      </c>
      <c r="B529" s="7" t="str">
        <f t="shared" si="111"/>
        <v>101</v>
      </c>
      <c r="C529" s="7" t="s">
        <v>8</v>
      </c>
      <c r="D529" s="7" t="s">
        <v>9</v>
      </c>
      <c r="E529" s="7" t="str">
        <f>"黄蓉"</f>
        <v>黄蓉</v>
      </c>
      <c r="F529" s="7" t="str">
        <f t="shared" si="113"/>
        <v>女</v>
      </c>
      <c r="G529" s="7" t="s">
        <v>518</v>
      </c>
      <c r="H529" s="8"/>
    </row>
    <row r="530" ht="25" customHeight="1" spans="1:8">
      <c r="A530" s="6">
        <v>528</v>
      </c>
      <c r="B530" s="7" t="str">
        <f t="shared" si="111"/>
        <v>101</v>
      </c>
      <c r="C530" s="7" t="s">
        <v>8</v>
      </c>
      <c r="D530" s="7" t="s">
        <v>9</v>
      </c>
      <c r="E530" s="7" t="str">
        <f>"段新平"</f>
        <v>段新平</v>
      </c>
      <c r="F530" s="7" t="str">
        <f t="shared" ref="F530:F535" si="114">"男"</f>
        <v>男</v>
      </c>
      <c r="G530" s="7" t="s">
        <v>519</v>
      </c>
      <c r="H530" s="8"/>
    </row>
    <row r="531" ht="25" customHeight="1" spans="1:8">
      <c r="A531" s="6">
        <v>529</v>
      </c>
      <c r="B531" s="7" t="str">
        <f t="shared" si="111"/>
        <v>101</v>
      </c>
      <c r="C531" s="7" t="s">
        <v>8</v>
      </c>
      <c r="D531" s="7" t="s">
        <v>9</v>
      </c>
      <c r="E531" s="7" t="str">
        <f>"梁舒琴"</f>
        <v>梁舒琴</v>
      </c>
      <c r="F531" s="7" t="str">
        <f t="shared" ref="F531:F534" si="115">"女"</f>
        <v>女</v>
      </c>
      <c r="G531" s="7" t="s">
        <v>520</v>
      </c>
      <c r="H531" s="8"/>
    </row>
    <row r="532" ht="25" customHeight="1" spans="1:8">
      <c r="A532" s="6">
        <v>530</v>
      </c>
      <c r="B532" s="7" t="str">
        <f t="shared" si="111"/>
        <v>101</v>
      </c>
      <c r="C532" s="7" t="s">
        <v>8</v>
      </c>
      <c r="D532" s="7" t="s">
        <v>9</v>
      </c>
      <c r="E532" s="7" t="str">
        <f>"常冬格"</f>
        <v>常冬格</v>
      </c>
      <c r="F532" s="7" t="str">
        <f t="shared" si="115"/>
        <v>女</v>
      </c>
      <c r="G532" s="7" t="s">
        <v>521</v>
      </c>
      <c r="H532" s="8"/>
    </row>
    <row r="533" ht="25" customHeight="1" spans="1:8">
      <c r="A533" s="6">
        <v>531</v>
      </c>
      <c r="B533" s="7" t="str">
        <f t="shared" si="111"/>
        <v>101</v>
      </c>
      <c r="C533" s="7" t="s">
        <v>8</v>
      </c>
      <c r="D533" s="7" t="s">
        <v>9</v>
      </c>
      <c r="E533" s="7" t="str">
        <f>"赵荣杉"</f>
        <v>赵荣杉</v>
      </c>
      <c r="F533" s="7" t="str">
        <f t="shared" si="114"/>
        <v>男</v>
      </c>
      <c r="G533" s="7" t="s">
        <v>522</v>
      </c>
      <c r="H533" s="8"/>
    </row>
    <row r="534" ht="25" customHeight="1" spans="1:8">
      <c r="A534" s="6">
        <v>532</v>
      </c>
      <c r="B534" s="7" t="str">
        <f t="shared" si="111"/>
        <v>101</v>
      </c>
      <c r="C534" s="7" t="s">
        <v>8</v>
      </c>
      <c r="D534" s="7" t="s">
        <v>9</v>
      </c>
      <c r="E534" s="7" t="str">
        <f>"鲍景丽"</f>
        <v>鲍景丽</v>
      </c>
      <c r="F534" s="7" t="str">
        <f t="shared" si="115"/>
        <v>女</v>
      </c>
      <c r="G534" s="7" t="s">
        <v>523</v>
      </c>
      <c r="H534" s="8"/>
    </row>
    <row r="535" ht="25" customHeight="1" spans="1:8">
      <c r="A535" s="6">
        <v>533</v>
      </c>
      <c r="B535" s="7" t="str">
        <f t="shared" si="111"/>
        <v>101</v>
      </c>
      <c r="C535" s="7" t="s">
        <v>8</v>
      </c>
      <c r="D535" s="7" t="s">
        <v>9</v>
      </c>
      <c r="E535" s="7" t="str">
        <f>"刘魁"</f>
        <v>刘魁</v>
      </c>
      <c r="F535" s="7" t="str">
        <f t="shared" si="114"/>
        <v>男</v>
      </c>
      <c r="G535" s="7" t="s">
        <v>524</v>
      </c>
      <c r="H535" s="8"/>
    </row>
    <row r="536" ht="25" customHeight="1" spans="1:8">
      <c r="A536" s="6">
        <v>534</v>
      </c>
      <c r="B536" s="7" t="str">
        <f t="shared" si="111"/>
        <v>101</v>
      </c>
      <c r="C536" s="7" t="s">
        <v>8</v>
      </c>
      <c r="D536" s="7" t="s">
        <v>9</v>
      </c>
      <c r="E536" s="7" t="str">
        <f>"杨鸿婷"</f>
        <v>杨鸿婷</v>
      </c>
      <c r="F536" s="7" t="str">
        <f t="shared" ref="F536:F539" si="116">"女"</f>
        <v>女</v>
      </c>
      <c r="G536" s="7" t="s">
        <v>525</v>
      </c>
      <c r="H536" s="8"/>
    </row>
    <row r="537" ht="25" customHeight="1" spans="1:8">
      <c r="A537" s="6">
        <v>535</v>
      </c>
      <c r="B537" s="7" t="str">
        <f t="shared" si="111"/>
        <v>101</v>
      </c>
      <c r="C537" s="7" t="s">
        <v>8</v>
      </c>
      <c r="D537" s="7" t="s">
        <v>9</v>
      </c>
      <c r="E537" s="7" t="str">
        <f>"陈慧珍"</f>
        <v>陈慧珍</v>
      </c>
      <c r="F537" s="7" t="str">
        <f t="shared" si="116"/>
        <v>女</v>
      </c>
      <c r="G537" s="7" t="s">
        <v>103</v>
      </c>
      <c r="H537" s="8"/>
    </row>
    <row r="538" ht="25" customHeight="1" spans="1:8">
      <c r="A538" s="6">
        <v>536</v>
      </c>
      <c r="B538" s="7" t="str">
        <f t="shared" si="111"/>
        <v>101</v>
      </c>
      <c r="C538" s="7" t="s">
        <v>8</v>
      </c>
      <c r="D538" s="7" t="s">
        <v>9</v>
      </c>
      <c r="E538" s="7" t="str">
        <f>"黄梅榆"</f>
        <v>黄梅榆</v>
      </c>
      <c r="F538" s="7" t="str">
        <f t="shared" si="116"/>
        <v>女</v>
      </c>
      <c r="G538" s="7" t="s">
        <v>526</v>
      </c>
      <c r="H538" s="8"/>
    </row>
    <row r="539" ht="25" customHeight="1" spans="1:8">
      <c r="A539" s="6">
        <v>537</v>
      </c>
      <c r="B539" s="7" t="str">
        <f t="shared" si="111"/>
        <v>101</v>
      </c>
      <c r="C539" s="7" t="s">
        <v>8</v>
      </c>
      <c r="D539" s="7" t="s">
        <v>9</v>
      </c>
      <c r="E539" s="7" t="str">
        <f>"陈丽婷"</f>
        <v>陈丽婷</v>
      </c>
      <c r="F539" s="7" t="str">
        <f t="shared" si="116"/>
        <v>女</v>
      </c>
      <c r="G539" s="7" t="s">
        <v>527</v>
      </c>
      <c r="H539" s="8"/>
    </row>
    <row r="540" ht="25" customHeight="1" spans="1:8">
      <c r="A540" s="6">
        <v>538</v>
      </c>
      <c r="B540" s="7" t="str">
        <f t="shared" si="111"/>
        <v>101</v>
      </c>
      <c r="C540" s="7" t="s">
        <v>8</v>
      </c>
      <c r="D540" s="7" t="s">
        <v>9</v>
      </c>
      <c r="E540" s="7" t="str">
        <f>"李科澍"</f>
        <v>李科澍</v>
      </c>
      <c r="F540" s="7" t="str">
        <f t="shared" ref="F540:F543" si="117">"男"</f>
        <v>男</v>
      </c>
      <c r="G540" s="7" t="s">
        <v>528</v>
      </c>
      <c r="H540" s="8"/>
    </row>
    <row r="541" ht="25" customHeight="1" spans="1:8">
      <c r="A541" s="6">
        <v>539</v>
      </c>
      <c r="B541" s="7" t="str">
        <f t="shared" si="111"/>
        <v>101</v>
      </c>
      <c r="C541" s="7" t="s">
        <v>8</v>
      </c>
      <c r="D541" s="7" t="s">
        <v>9</v>
      </c>
      <c r="E541" s="7" t="str">
        <f>"刘方远"</f>
        <v>刘方远</v>
      </c>
      <c r="F541" s="7" t="str">
        <f t="shared" si="117"/>
        <v>男</v>
      </c>
      <c r="G541" s="7" t="s">
        <v>529</v>
      </c>
      <c r="H541" s="8"/>
    </row>
    <row r="542" ht="25" customHeight="1" spans="1:8">
      <c r="A542" s="6">
        <v>540</v>
      </c>
      <c r="B542" s="7" t="str">
        <f t="shared" si="111"/>
        <v>101</v>
      </c>
      <c r="C542" s="7" t="s">
        <v>8</v>
      </c>
      <c r="D542" s="7" t="s">
        <v>9</v>
      </c>
      <c r="E542" s="7" t="str">
        <f>"安凯龙"</f>
        <v>安凯龙</v>
      </c>
      <c r="F542" s="7" t="str">
        <f t="shared" si="117"/>
        <v>男</v>
      </c>
      <c r="G542" s="7" t="s">
        <v>530</v>
      </c>
      <c r="H542" s="8"/>
    </row>
    <row r="543" ht="25" customHeight="1" spans="1:8">
      <c r="A543" s="6">
        <v>541</v>
      </c>
      <c r="B543" s="7" t="str">
        <f t="shared" si="111"/>
        <v>101</v>
      </c>
      <c r="C543" s="7" t="s">
        <v>8</v>
      </c>
      <c r="D543" s="7" t="s">
        <v>9</v>
      </c>
      <c r="E543" s="7" t="str">
        <f>"李成炜"</f>
        <v>李成炜</v>
      </c>
      <c r="F543" s="7" t="str">
        <f t="shared" si="117"/>
        <v>男</v>
      </c>
      <c r="G543" s="7" t="s">
        <v>531</v>
      </c>
      <c r="H543" s="8"/>
    </row>
    <row r="544" ht="25" customHeight="1" spans="1:8">
      <c r="A544" s="6">
        <v>542</v>
      </c>
      <c r="B544" s="7" t="str">
        <f t="shared" si="111"/>
        <v>101</v>
      </c>
      <c r="C544" s="7" t="s">
        <v>8</v>
      </c>
      <c r="D544" s="7" t="s">
        <v>9</v>
      </c>
      <c r="E544" s="7" t="str">
        <f>"丁婧"</f>
        <v>丁婧</v>
      </c>
      <c r="F544" s="7" t="str">
        <f t="shared" ref="F544:F546" si="118">"女"</f>
        <v>女</v>
      </c>
      <c r="G544" s="7" t="s">
        <v>532</v>
      </c>
      <c r="H544" s="8"/>
    </row>
    <row r="545" ht="25" customHeight="1" spans="1:8">
      <c r="A545" s="6">
        <v>543</v>
      </c>
      <c r="B545" s="7" t="str">
        <f t="shared" si="111"/>
        <v>101</v>
      </c>
      <c r="C545" s="7" t="s">
        <v>8</v>
      </c>
      <c r="D545" s="7" t="s">
        <v>9</v>
      </c>
      <c r="E545" s="7" t="str">
        <f>"黎寿方"</f>
        <v>黎寿方</v>
      </c>
      <c r="F545" s="7" t="str">
        <f t="shared" si="118"/>
        <v>女</v>
      </c>
      <c r="G545" s="7" t="s">
        <v>533</v>
      </c>
      <c r="H545" s="8"/>
    </row>
    <row r="546" ht="25" customHeight="1" spans="1:8">
      <c r="A546" s="6">
        <v>544</v>
      </c>
      <c r="B546" s="7" t="str">
        <f t="shared" si="111"/>
        <v>101</v>
      </c>
      <c r="C546" s="7" t="s">
        <v>8</v>
      </c>
      <c r="D546" s="7" t="s">
        <v>9</v>
      </c>
      <c r="E546" s="7" t="str">
        <f>"郑灵慧"</f>
        <v>郑灵慧</v>
      </c>
      <c r="F546" s="7" t="str">
        <f t="shared" si="118"/>
        <v>女</v>
      </c>
      <c r="G546" s="7" t="s">
        <v>534</v>
      </c>
      <c r="H546" s="8"/>
    </row>
    <row r="547" ht="25" customHeight="1" spans="1:8">
      <c r="A547" s="6">
        <v>545</v>
      </c>
      <c r="B547" s="7" t="str">
        <f t="shared" si="111"/>
        <v>101</v>
      </c>
      <c r="C547" s="7" t="s">
        <v>8</v>
      </c>
      <c r="D547" s="7" t="s">
        <v>9</v>
      </c>
      <c r="E547" s="7" t="str">
        <f>"黎俊华"</f>
        <v>黎俊华</v>
      </c>
      <c r="F547" s="7" t="str">
        <f t="shared" ref="F547:F553" si="119">"男"</f>
        <v>男</v>
      </c>
      <c r="G547" s="7" t="s">
        <v>323</v>
      </c>
      <c r="H547" s="8"/>
    </row>
    <row r="548" ht="25" customHeight="1" spans="1:8">
      <c r="A548" s="6">
        <v>546</v>
      </c>
      <c r="B548" s="7" t="str">
        <f t="shared" si="111"/>
        <v>101</v>
      </c>
      <c r="C548" s="7" t="s">
        <v>8</v>
      </c>
      <c r="D548" s="7" t="s">
        <v>9</v>
      </c>
      <c r="E548" s="7" t="str">
        <f>"蒋萌"</f>
        <v>蒋萌</v>
      </c>
      <c r="F548" s="7" t="str">
        <f t="shared" si="119"/>
        <v>男</v>
      </c>
      <c r="G548" s="7" t="s">
        <v>535</v>
      </c>
      <c r="H548" s="8"/>
    </row>
    <row r="549" ht="25" customHeight="1" spans="1:8">
      <c r="A549" s="6">
        <v>547</v>
      </c>
      <c r="B549" s="7" t="str">
        <f t="shared" si="111"/>
        <v>101</v>
      </c>
      <c r="C549" s="7" t="s">
        <v>8</v>
      </c>
      <c r="D549" s="7" t="s">
        <v>9</v>
      </c>
      <c r="E549" s="7" t="str">
        <f>"李晴晴"</f>
        <v>李晴晴</v>
      </c>
      <c r="F549" s="7" t="str">
        <f t="shared" ref="F549:F551" si="120">"女"</f>
        <v>女</v>
      </c>
      <c r="G549" s="7" t="s">
        <v>536</v>
      </c>
      <c r="H549" s="8"/>
    </row>
    <row r="550" ht="25" customHeight="1" spans="1:8">
      <c r="A550" s="6">
        <v>548</v>
      </c>
      <c r="B550" s="7" t="str">
        <f t="shared" si="111"/>
        <v>101</v>
      </c>
      <c r="C550" s="7" t="s">
        <v>8</v>
      </c>
      <c r="D550" s="7" t="s">
        <v>9</v>
      </c>
      <c r="E550" s="7" t="str">
        <f>"张钰"</f>
        <v>张钰</v>
      </c>
      <c r="F550" s="7" t="str">
        <f t="shared" si="120"/>
        <v>女</v>
      </c>
      <c r="G550" s="7" t="s">
        <v>537</v>
      </c>
      <c r="H550" s="8"/>
    </row>
    <row r="551" ht="25" customHeight="1" spans="1:8">
      <c r="A551" s="6">
        <v>549</v>
      </c>
      <c r="B551" s="7" t="str">
        <f t="shared" si="111"/>
        <v>101</v>
      </c>
      <c r="C551" s="7" t="s">
        <v>8</v>
      </c>
      <c r="D551" s="7" t="s">
        <v>9</v>
      </c>
      <c r="E551" s="7" t="str">
        <f>"陈幻真"</f>
        <v>陈幻真</v>
      </c>
      <c r="F551" s="7" t="str">
        <f t="shared" si="120"/>
        <v>女</v>
      </c>
      <c r="G551" s="7" t="s">
        <v>538</v>
      </c>
      <c r="H551" s="8"/>
    </row>
    <row r="552" ht="25" customHeight="1" spans="1:8">
      <c r="A552" s="6">
        <v>550</v>
      </c>
      <c r="B552" s="7" t="str">
        <f t="shared" si="111"/>
        <v>101</v>
      </c>
      <c r="C552" s="7" t="s">
        <v>8</v>
      </c>
      <c r="D552" s="7" t="s">
        <v>9</v>
      </c>
      <c r="E552" s="7" t="str">
        <f>"唐昇"</f>
        <v>唐昇</v>
      </c>
      <c r="F552" s="7" t="str">
        <f t="shared" si="119"/>
        <v>男</v>
      </c>
      <c r="G552" s="7" t="s">
        <v>539</v>
      </c>
      <c r="H552" s="8"/>
    </row>
    <row r="553" ht="25" customHeight="1" spans="1:8">
      <c r="A553" s="6">
        <v>551</v>
      </c>
      <c r="B553" s="7" t="str">
        <f t="shared" si="111"/>
        <v>101</v>
      </c>
      <c r="C553" s="7" t="s">
        <v>8</v>
      </c>
      <c r="D553" s="7" t="s">
        <v>9</v>
      </c>
      <c r="E553" s="7" t="str">
        <f>"魏超"</f>
        <v>魏超</v>
      </c>
      <c r="F553" s="7" t="str">
        <f t="shared" si="119"/>
        <v>男</v>
      </c>
      <c r="G553" s="7" t="s">
        <v>540</v>
      </c>
      <c r="H553" s="8"/>
    </row>
    <row r="554" ht="25" customHeight="1" spans="1:8">
      <c r="A554" s="6">
        <v>552</v>
      </c>
      <c r="B554" s="7" t="str">
        <f t="shared" si="111"/>
        <v>101</v>
      </c>
      <c r="C554" s="7" t="s">
        <v>8</v>
      </c>
      <c r="D554" s="7" t="s">
        <v>9</v>
      </c>
      <c r="E554" s="7" t="str">
        <f>"陈微"</f>
        <v>陈微</v>
      </c>
      <c r="F554" s="7" t="str">
        <f t="shared" ref="F554:F557" si="121">"女"</f>
        <v>女</v>
      </c>
      <c r="G554" s="7" t="s">
        <v>541</v>
      </c>
      <c r="H554" s="8"/>
    </row>
    <row r="555" ht="25" customHeight="1" spans="1:8">
      <c r="A555" s="6">
        <v>553</v>
      </c>
      <c r="B555" s="7" t="str">
        <f t="shared" si="111"/>
        <v>101</v>
      </c>
      <c r="C555" s="7" t="s">
        <v>8</v>
      </c>
      <c r="D555" s="7" t="s">
        <v>9</v>
      </c>
      <c r="E555" s="7" t="str">
        <f>"李诗嘉"</f>
        <v>李诗嘉</v>
      </c>
      <c r="F555" s="7" t="str">
        <f t="shared" si="121"/>
        <v>女</v>
      </c>
      <c r="G555" s="7" t="s">
        <v>542</v>
      </c>
      <c r="H555" s="8"/>
    </row>
    <row r="556" ht="25" customHeight="1" spans="1:8">
      <c r="A556" s="6">
        <v>554</v>
      </c>
      <c r="B556" s="7" t="str">
        <f t="shared" si="111"/>
        <v>101</v>
      </c>
      <c r="C556" s="7" t="s">
        <v>8</v>
      </c>
      <c r="D556" s="7" t="s">
        <v>9</v>
      </c>
      <c r="E556" s="7" t="str">
        <f>"许人宇"</f>
        <v>许人宇</v>
      </c>
      <c r="F556" s="7" t="str">
        <f t="shared" ref="F556:F560" si="122">"男"</f>
        <v>男</v>
      </c>
      <c r="G556" s="7" t="s">
        <v>543</v>
      </c>
      <c r="H556" s="8"/>
    </row>
    <row r="557" ht="25" customHeight="1" spans="1:8">
      <c r="A557" s="6">
        <v>555</v>
      </c>
      <c r="B557" s="7" t="str">
        <f t="shared" si="111"/>
        <v>101</v>
      </c>
      <c r="C557" s="7" t="s">
        <v>8</v>
      </c>
      <c r="D557" s="7" t="s">
        <v>9</v>
      </c>
      <c r="E557" s="7" t="str">
        <f>"芦韦"</f>
        <v>芦韦</v>
      </c>
      <c r="F557" s="7" t="str">
        <f t="shared" si="121"/>
        <v>女</v>
      </c>
      <c r="G557" s="7" t="s">
        <v>544</v>
      </c>
      <c r="H557" s="8"/>
    </row>
    <row r="558" ht="25" customHeight="1" spans="1:8">
      <c r="A558" s="6">
        <v>556</v>
      </c>
      <c r="B558" s="7" t="str">
        <f t="shared" si="111"/>
        <v>101</v>
      </c>
      <c r="C558" s="7" t="s">
        <v>8</v>
      </c>
      <c r="D558" s="7" t="s">
        <v>9</v>
      </c>
      <c r="E558" s="7" t="str">
        <f>"黄文"</f>
        <v>黄文</v>
      </c>
      <c r="F558" s="7" t="str">
        <f t="shared" si="122"/>
        <v>男</v>
      </c>
      <c r="G558" s="7" t="s">
        <v>545</v>
      </c>
      <c r="H558" s="8"/>
    </row>
    <row r="559" ht="25" customHeight="1" spans="1:8">
      <c r="A559" s="6">
        <v>557</v>
      </c>
      <c r="B559" s="7" t="str">
        <f t="shared" si="111"/>
        <v>101</v>
      </c>
      <c r="C559" s="7" t="s">
        <v>8</v>
      </c>
      <c r="D559" s="7" t="s">
        <v>9</v>
      </c>
      <c r="E559" s="7" t="str">
        <f>"黎凡"</f>
        <v>黎凡</v>
      </c>
      <c r="F559" s="7" t="str">
        <f t="shared" si="122"/>
        <v>男</v>
      </c>
      <c r="G559" s="7" t="s">
        <v>546</v>
      </c>
      <c r="H559" s="8"/>
    </row>
    <row r="560" ht="25" customHeight="1" spans="1:8">
      <c r="A560" s="6">
        <v>558</v>
      </c>
      <c r="B560" s="7" t="str">
        <f t="shared" si="111"/>
        <v>101</v>
      </c>
      <c r="C560" s="7" t="s">
        <v>8</v>
      </c>
      <c r="D560" s="7" t="s">
        <v>9</v>
      </c>
      <c r="E560" s="7" t="str">
        <f>"魏向"</f>
        <v>魏向</v>
      </c>
      <c r="F560" s="7" t="str">
        <f t="shared" si="122"/>
        <v>男</v>
      </c>
      <c r="G560" s="7" t="s">
        <v>547</v>
      </c>
      <c r="H560" s="8"/>
    </row>
    <row r="561" ht="25" customHeight="1" spans="1:8">
      <c r="A561" s="6">
        <v>559</v>
      </c>
      <c r="B561" s="7" t="str">
        <f t="shared" si="111"/>
        <v>101</v>
      </c>
      <c r="C561" s="7" t="s">
        <v>8</v>
      </c>
      <c r="D561" s="7" t="s">
        <v>9</v>
      </c>
      <c r="E561" s="7" t="str">
        <f>"陈霈瑄"</f>
        <v>陈霈瑄</v>
      </c>
      <c r="F561" s="7" t="str">
        <f t="shared" ref="F561:F565" si="123">"女"</f>
        <v>女</v>
      </c>
      <c r="G561" s="7" t="s">
        <v>548</v>
      </c>
      <c r="H561" s="8"/>
    </row>
    <row r="562" ht="25" customHeight="1" spans="1:8">
      <c r="A562" s="6">
        <v>560</v>
      </c>
      <c r="B562" s="7" t="str">
        <f t="shared" si="111"/>
        <v>101</v>
      </c>
      <c r="C562" s="7" t="s">
        <v>8</v>
      </c>
      <c r="D562" s="7" t="s">
        <v>9</v>
      </c>
      <c r="E562" s="7" t="str">
        <f>"郭二威"</f>
        <v>郭二威</v>
      </c>
      <c r="F562" s="7" t="str">
        <f t="shared" ref="F562:F567" si="124">"男"</f>
        <v>男</v>
      </c>
      <c r="G562" s="7" t="s">
        <v>549</v>
      </c>
      <c r="H562" s="8"/>
    </row>
    <row r="563" ht="25" customHeight="1" spans="1:8">
      <c r="A563" s="6">
        <v>561</v>
      </c>
      <c r="B563" s="7" t="str">
        <f t="shared" si="111"/>
        <v>101</v>
      </c>
      <c r="C563" s="7" t="s">
        <v>8</v>
      </c>
      <c r="D563" s="7" t="s">
        <v>9</v>
      </c>
      <c r="E563" s="7" t="str">
        <f>"郑萍"</f>
        <v>郑萍</v>
      </c>
      <c r="F563" s="7" t="str">
        <f t="shared" si="123"/>
        <v>女</v>
      </c>
      <c r="G563" s="7" t="s">
        <v>550</v>
      </c>
      <c r="H563" s="8"/>
    </row>
    <row r="564" ht="25" customHeight="1" spans="1:8">
      <c r="A564" s="6">
        <v>562</v>
      </c>
      <c r="B564" s="7" t="str">
        <f t="shared" si="111"/>
        <v>101</v>
      </c>
      <c r="C564" s="7" t="s">
        <v>8</v>
      </c>
      <c r="D564" s="7" t="s">
        <v>9</v>
      </c>
      <c r="E564" s="7" t="str">
        <f>"陈思"</f>
        <v>陈思</v>
      </c>
      <c r="F564" s="7" t="str">
        <f t="shared" si="123"/>
        <v>女</v>
      </c>
      <c r="G564" s="7" t="s">
        <v>551</v>
      </c>
      <c r="H564" s="8"/>
    </row>
    <row r="565" ht="25" customHeight="1" spans="1:8">
      <c r="A565" s="6">
        <v>563</v>
      </c>
      <c r="B565" s="7" t="str">
        <f t="shared" si="111"/>
        <v>101</v>
      </c>
      <c r="C565" s="7" t="s">
        <v>8</v>
      </c>
      <c r="D565" s="7" t="s">
        <v>9</v>
      </c>
      <c r="E565" s="7" t="str">
        <f>"陈传玉"</f>
        <v>陈传玉</v>
      </c>
      <c r="F565" s="7" t="str">
        <f t="shared" si="123"/>
        <v>女</v>
      </c>
      <c r="G565" s="7" t="s">
        <v>552</v>
      </c>
      <c r="H565" s="8"/>
    </row>
    <row r="566" ht="25" customHeight="1" spans="1:8">
      <c r="A566" s="6">
        <v>564</v>
      </c>
      <c r="B566" s="7" t="str">
        <f t="shared" si="111"/>
        <v>101</v>
      </c>
      <c r="C566" s="7" t="s">
        <v>8</v>
      </c>
      <c r="D566" s="7" t="s">
        <v>9</v>
      </c>
      <c r="E566" s="7" t="str">
        <f>"卓业诚"</f>
        <v>卓业诚</v>
      </c>
      <c r="F566" s="7" t="str">
        <f t="shared" si="124"/>
        <v>男</v>
      </c>
      <c r="G566" s="7" t="s">
        <v>553</v>
      </c>
      <c r="H566" s="8"/>
    </row>
    <row r="567" ht="25" customHeight="1" spans="1:8">
      <c r="A567" s="6">
        <v>565</v>
      </c>
      <c r="B567" s="7" t="str">
        <f t="shared" si="111"/>
        <v>101</v>
      </c>
      <c r="C567" s="7" t="s">
        <v>8</v>
      </c>
      <c r="D567" s="7" t="s">
        <v>9</v>
      </c>
      <c r="E567" s="7" t="str">
        <f>"石岩松"</f>
        <v>石岩松</v>
      </c>
      <c r="F567" s="7" t="str">
        <f t="shared" si="124"/>
        <v>男</v>
      </c>
      <c r="G567" s="7" t="s">
        <v>554</v>
      </c>
      <c r="H567" s="8"/>
    </row>
    <row r="568" ht="25" customHeight="1" spans="1:8">
      <c r="A568" s="6">
        <v>566</v>
      </c>
      <c r="B568" s="7" t="str">
        <f t="shared" si="111"/>
        <v>101</v>
      </c>
      <c r="C568" s="7" t="s">
        <v>8</v>
      </c>
      <c r="D568" s="7" t="s">
        <v>9</v>
      </c>
      <c r="E568" s="7" t="str">
        <f>"葛莹"</f>
        <v>葛莹</v>
      </c>
      <c r="F568" s="7" t="str">
        <f t="shared" ref="F568:F573" si="125">"女"</f>
        <v>女</v>
      </c>
      <c r="G568" s="7" t="s">
        <v>555</v>
      </c>
      <c r="H568" s="8"/>
    </row>
    <row r="569" ht="25" customHeight="1" spans="1:8">
      <c r="A569" s="6">
        <v>567</v>
      </c>
      <c r="B569" s="7" t="str">
        <f t="shared" si="111"/>
        <v>101</v>
      </c>
      <c r="C569" s="7" t="s">
        <v>8</v>
      </c>
      <c r="D569" s="7" t="s">
        <v>9</v>
      </c>
      <c r="E569" s="7" t="str">
        <f>"宋宇航"</f>
        <v>宋宇航</v>
      </c>
      <c r="F569" s="7" t="str">
        <f t="shared" si="125"/>
        <v>女</v>
      </c>
      <c r="G569" s="7" t="s">
        <v>556</v>
      </c>
      <c r="H569" s="8"/>
    </row>
    <row r="570" ht="25" customHeight="1" spans="1:8">
      <c r="A570" s="6">
        <v>568</v>
      </c>
      <c r="B570" s="7" t="str">
        <f t="shared" si="111"/>
        <v>101</v>
      </c>
      <c r="C570" s="7" t="s">
        <v>8</v>
      </c>
      <c r="D570" s="7" t="s">
        <v>9</v>
      </c>
      <c r="E570" s="7" t="str">
        <f>"查希"</f>
        <v>查希</v>
      </c>
      <c r="F570" s="7" t="str">
        <f t="shared" si="125"/>
        <v>女</v>
      </c>
      <c r="G570" s="7" t="s">
        <v>557</v>
      </c>
      <c r="H570" s="8"/>
    </row>
    <row r="571" ht="25" customHeight="1" spans="1:8">
      <c r="A571" s="6">
        <v>569</v>
      </c>
      <c r="B571" s="7" t="str">
        <f t="shared" si="111"/>
        <v>101</v>
      </c>
      <c r="C571" s="7" t="s">
        <v>8</v>
      </c>
      <c r="D571" s="7" t="s">
        <v>9</v>
      </c>
      <c r="E571" s="7" t="str">
        <f>"许睿"</f>
        <v>许睿</v>
      </c>
      <c r="F571" s="7" t="str">
        <f t="shared" si="125"/>
        <v>女</v>
      </c>
      <c r="G571" s="7" t="s">
        <v>558</v>
      </c>
      <c r="H571" s="8"/>
    </row>
    <row r="572" ht="25" customHeight="1" spans="1:8">
      <c r="A572" s="6">
        <v>570</v>
      </c>
      <c r="B572" s="7" t="str">
        <f t="shared" si="111"/>
        <v>101</v>
      </c>
      <c r="C572" s="7" t="s">
        <v>8</v>
      </c>
      <c r="D572" s="7" t="s">
        <v>9</v>
      </c>
      <c r="E572" s="7" t="str">
        <f>"张旭敏"</f>
        <v>张旭敏</v>
      </c>
      <c r="F572" s="7" t="str">
        <f t="shared" si="125"/>
        <v>女</v>
      </c>
      <c r="G572" s="7" t="s">
        <v>559</v>
      </c>
      <c r="H572" s="8"/>
    </row>
    <row r="573" ht="25" customHeight="1" spans="1:8">
      <c r="A573" s="6">
        <v>571</v>
      </c>
      <c r="B573" s="7" t="str">
        <f t="shared" si="111"/>
        <v>101</v>
      </c>
      <c r="C573" s="7" t="s">
        <v>8</v>
      </c>
      <c r="D573" s="7" t="s">
        <v>9</v>
      </c>
      <c r="E573" s="7" t="str">
        <f>"吴淑芳"</f>
        <v>吴淑芳</v>
      </c>
      <c r="F573" s="7" t="str">
        <f t="shared" si="125"/>
        <v>女</v>
      </c>
      <c r="G573" s="7" t="s">
        <v>560</v>
      </c>
      <c r="H573" s="8"/>
    </row>
    <row r="574" ht="25" customHeight="1" spans="1:8">
      <c r="A574" s="6">
        <v>572</v>
      </c>
      <c r="B574" s="7" t="str">
        <f t="shared" si="111"/>
        <v>101</v>
      </c>
      <c r="C574" s="7" t="s">
        <v>8</v>
      </c>
      <c r="D574" s="7" t="s">
        <v>9</v>
      </c>
      <c r="E574" s="7" t="str">
        <f>"向凌志"</f>
        <v>向凌志</v>
      </c>
      <c r="F574" s="7" t="str">
        <f t="shared" ref="F574:F579" si="126">"男"</f>
        <v>男</v>
      </c>
      <c r="G574" s="7" t="s">
        <v>561</v>
      </c>
      <c r="H574" s="8"/>
    </row>
    <row r="575" ht="25" customHeight="1" spans="1:8">
      <c r="A575" s="6">
        <v>573</v>
      </c>
      <c r="B575" s="7" t="str">
        <f t="shared" si="111"/>
        <v>101</v>
      </c>
      <c r="C575" s="7" t="s">
        <v>8</v>
      </c>
      <c r="D575" s="7" t="s">
        <v>9</v>
      </c>
      <c r="E575" s="7" t="str">
        <f>"刘猛"</f>
        <v>刘猛</v>
      </c>
      <c r="F575" s="7" t="str">
        <f t="shared" si="126"/>
        <v>男</v>
      </c>
      <c r="G575" s="7" t="s">
        <v>562</v>
      </c>
      <c r="H575" s="8"/>
    </row>
    <row r="576" ht="25" customHeight="1" spans="1:8">
      <c r="A576" s="6">
        <v>574</v>
      </c>
      <c r="B576" s="7" t="str">
        <f t="shared" si="111"/>
        <v>101</v>
      </c>
      <c r="C576" s="7" t="s">
        <v>8</v>
      </c>
      <c r="D576" s="7" t="s">
        <v>9</v>
      </c>
      <c r="E576" s="7" t="str">
        <f>"白浩冉"</f>
        <v>白浩冉</v>
      </c>
      <c r="F576" s="7" t="str">
        <f t="shared" si="126"/>
        <v>男</v>
      </c>
      <c r="G576" s="7" t="s">
        <v>563</v>
      </c>
      <c r="H576" s="8"/>
    </row>
    <row r="577" ht="25" customHeight="1" spans="1:8">
      <c r="A577" s="6">
        <v>575</v>
      </c>
      <c r="B577" s="7" t="str">
        <f t="shared" si="111"/>
        <v>101</v>
      </c>
      <c r="C577" s="7" t="s">
        <v>8</v>
      </c>
      <c r="D577" s="7" t="s">
        <v>9</v>
      </c>
      <c r="E577" s="7" t="str">
        <f>"陈鹿展"</f>
        <v>陈鹿展</v>
      </c>
      <c r="F577" s="7" t="str">
        <f t="shared" si="126"/>
        <v>男</v>
      </c>
      <c r="G577" s="7" t="s">
        <v>564</v>
      </c>
      <c r="H577" s="8"/>
    </row>
    <row r="578" ht="25" customHeight="1" spans="1:8">
      <c r="A578" s="6">
        <v>576</v>
      </c>
      <c r="B578" s="7" t="str">
        <f t="shared" si="111"/>
        <v>101</v>
      </c>
      <c r="C578" s="7" t="s">
        <v>8</v>
      </c>
      <c r="D578" s="7" t="s">
        <v>9</v>
      </c>
      <c r="E578" s="7" t="str">
        <f>"陈文豪"</f>
        <v>陈文豪</v>
      </c>
      <c r="F578" s="7" t="str">
        <f t="shared" si="126"/>
        <v>男</v>
      </c>
      <c r="G578" s="7" t="s">
        <v>565</v>
      </c>
      <c r="H578" s="8"/>
    </row>
    <row r="579" ht="25" customHeight="1" spans="1:8">
      <c r="A579" s="6">
        <v>577</v>
      </c>
      <c r="B579" s="7" t="str">
        <f t="shared" ref="B579:B582" si="127">"101"</f>
        <v>101</v>
      </c>
      <c r="C579" s="7" t="s">
        <v>8</v>
      </c>
      <c r="D579" s="7" t="s">
        <v>9</v>
      </c>
      <c r="E579" s="7" t="str">
        <f>"卢元东"</f>
        <v>卢元东</v>
      </c>
      <c r="F579" s="7" t="str">
        <f t="shared" si="126"/>
        <v>男</v>
      </c>
      <c r="G579" s="7" t="s">
        <v>566</v>
      </c>
      <c r="H579" s="8"/>
    </row>
    <row r="580" ht="25" customHeight="1" spans="1:8">
      <c r="A580" s="6">
        <v>578</v>
      </c>
      <c r="B580" s="7" t="str">
        <f t="shared" si="127"/>
        <v>101</v>
      </c>
      <c r="C580" s="7" t="s">
        <v>8</v>
      </c>
      <c r="D580" s="7" t="s">
        <v>9</v>
      </c>
      <c r="E580" s="7" t="str">
        <f>"丁晓佳"</f>
        <v>丁晓佳</v>
      </c>
      <c r="F580" s="7" t="str">
        <f>"女"</f>
        <v>女</v>
      </c>
      <c r="G580" s="7" t="s">
        <v>567</v>
      </c>
      <c r="H580" s="8"/>
    </row>
    <row r="581" ht="25" customHeight="1" spans="1:8">
      <c r="A581" s="6">
        <v>579</v>
      </c>
      <c r="B581" s="7" t="str">
        <f t="shared" si="127"/>
        <v>101</v>
      </c>
      <c r="C581" s="7" t="s">
        <v>8</v>
      </c>
      <c r="D581" s="7" t="s">
        <v>9</v>
      </c>
      <c r="E581" s="7" t="str">
        <f>"陈良宇"</f>
        <v>陈良宇</v>
      </c>
      <c r="F581" s="7" t="str">
        <f t="shared" ref="F581:F585" si="128">"男"</f>
        <v>男</v>
      </c>
      <c r="G581" s="7" t="s">
        <v>568</v>
      </c>
      <c r="H581" s="8"/>
    </row>
    <row r="582" ht="25" customHeight="1" spans="1:8">
      <c r="A582" s="6">
        <v>580</v>
      </c>
      <c r="B582" s="7" t="str">
        <f t="shared" si="127"/>
        <v>101</v>
      </c>
      <c r="C582" s="7" t="s">
        <v>8</v>
      </c>
      <c r="D582" s="7" t="s">
        <v>9</v>
      </c>
      <c r="E582" s="7" t="str">
        <f>"张丽晓"</f>
        <v>张丽晓</v>
      </c>
      <c r="F582" s="7" t="str">
        <f t="shared" ref="F582:F587" si="129">"女"</f>
        <v>女</v>
      </c>
      <c r="G582" s="7" t="s">
        <v>569</v>
      </c>
      <c r="H582" s="8"/>
    </row>
    <row r="583" ht="25" customHeight="1" spans="1:8">
      <c r="A583" s="6">
        <v>581</v>
      </c>
      <c r="B583" s="7" t="str">
        <f t="shared" ref="B583:B646" si="130">"102"</f>
        <v>102</v>
      </c>
      <c r="C583" s="7" t="s">
        <v>570</v>
      </c>
      <c r="D583" s="7" t="s">
        <v>571</v>
      </c>
      <c r="E583" s="7" t="str">
        <f>"苏绘天"</f>
        <v>苏绘天</v>
      </c>
      <c r="F583" s="7" t="str">
        <f t="shared" si="128"/>
        <v>男</v>
      </c>
      <c r="G583" s="7" t="s">
        <v>572</v>
      </c>
      <c r="H583" s="8"/>
    </row>
    <row r="584" ht="25" customHeight="1" spans="1:8">
      <c r="A584" s="6">
        <v>582</v>
      </c>
      <c r="B584" s="7" t="str">
        <f t="shared" si="130"/>
        <v>102</v>
      </c>
      <c r="C584" s="7" t="s">
        <v>570</v>
      </c>
      <c r="D584" s="7" t="s">
        <v>571</v>
      </c>
      <c r="E584" s="7" t="str">
        <f>"王康"</f>
        <v>王康</v>
      </c>
      <c r="F584" s="7" t="str">
        <f t="shared" si="128"/>
        <v>男</v>
      </c>
      <c r="G584" s="7" t="s">
        <v>573</v>
      </c>
      <c r="H584" s="8"/>
    </row>
    <row r="585" ht="25" customHeight="1" spans="1:8">
      <c r="A585" s="6">
        <v>583</v>
      </c>
      <c r="B585" s="7" t="str">
        <f t="shared" si="130"/>
        <v>102</v>
      </c>
      <c r="C585" s="7" t="s">
        <v>570</v>
      </c>
      <c r="D585" s="7" t="s">
        <v>571</v>
      </c>
      <c r="E585" s="7" t="str">
        <f>"林周寺"</f>
        <v>林周寺</v>
      </c>
      <c r="F585" s="7" t="str">
        <f t="shared" si="128"/>
        <v>男</v>
      </c>
      <c r="G585" s="7" t="s">
        <v>574</v>
      </c>
      <c r="H585" s="8"/>
    </row>
    <row r="586" ht="25" customHeight="1" spans="1:8">
      <c r="A586" s="6">
        <v>584</v>
      </c>
      <c r="B586" s="7" t="str">
        <f t="shared" si="130"/>
        <v>102</v>
      </c>
      <c r="C586" s="7" t="s">
        <v>570</v>
      </c>
      <c r="D586" s="7" t="s">
        <v>571</v>
      </c>
      <c r="E586" s="7" t="str">
        <f>"陈菲"</f>
        <v>陈菲</v>
      </c>
      <c r="F586" s="7" t="str">
        <f t="shared" si="129"/>
        <v>女</v>
      </c>
      <c r="G586" s="7" t="s">
        <v>575</v>
      </c>
      <c r="H586" s="8"/>
    </row>
    <row r="587" ht="25" customHeight="1" spans="1:8">
      <c r="A587" s="6">
        <v>585</v>
      </c>
      <c r="B587" s="7" t="str">
        <f t="shared" si="130"/>
        <v>102</v>
      </c>
      <c r="C587" s="7" t="s">
        <v>570</v>
      </c>
      <c r="D587" s="7" t="s">
        <v>571</v>
      </c>
      <c r="E587" s="7" t="str">
        <f>"周小妃"</f>
        <v>周小妃</v>
      </c>
      <c r="F587" s="7" t="str">
        <f t="shared" si="129"/>
        <v>女</v>
      </c>
      <c r="G587" s="7" t="s">
        <v>576</v>
      </c>
      <c r="H587" s="8"/>
    </row>
    <row r="588" ht="25" customHeight="1" spans="1:8">
      <c r="A588" s="6">
        <v>586</v>
      </c>
      <c r="B588" s="7" t="str">
        <f t="shared" si="130"/>
        <v>102</v>
      </c>
      <c r="C588" s="7" t="s">
        <v>570</v>
      </c>
      <c r="D588" s="7" t="s">
        <v>571</v>
      </c>
      <c r="E588" s="7" t="str">
        <f>"张阳"</f>
        <v>张阳</v>
      </c>
      <c r="F588" s="7" t="str">
        <f>"男"</f>
        <v>男</v>
      </c>
      <c r="G588" s="7" t="s">
        <v>577</v>
      </c>
      <c r="H588" s="8"/>
    </row>
    <row r="589" ht="25" customHeight="1" spans="1:8">
      <c r="A589" s="6">
        <v>587</v>
      </c>
      <c r="B589" s="7" t="str">
        <f t="shared" si="130"/>
        <v>102</v>
      </c>
      <c r="C589" s="7" t="s">
        <v>570</v>
      </c>
      <c r="D589" s="7" t="s">
        <v>571</v>
      </c>
      <c r="E589" s="7" t="str">
        <f>"冯大捷"</f>
        <v>冯大捷</v>
      </c>
      <c r="F589" s="7" t="str">
        <f>"男"</f>
        <v>男</v>
      </c>
      <c r="G589" s="7" t="s">
        <v>578</v>
      </c>
      <c r="H589" s="8"/>
    </row>
    <row r="590" ht="25" customHeight="1" spans="1:8">
      <c r="A590" s="6">
        <v>588</v>
      </c>
      <c r="B590" s="7" t="str">
        <f t="shared" si="130"/>
        <v>102</v>
      </c>
      <c r="C590" s="7" t="s">
        <v>570</v>
      </c>
      <c r="D590" s="7" t="s">
        <v>571</v>
      </c>
      <c r="E590" s="7" t="str">
        <f>"曹渝苑"</f>
        <v>曹渝苑</v>
      </c>
      <c r="F590" s="7" t="str">
        <f t="shared" ref="F590:F594" si="131">"女"</f>
        <v>女</v>
      </c>
      <c r="G590" s="7" t="s">
        <v>579</v>
      </c>
      <c r="H590" s="8"/>
    </row>
    <row r="591" ht="25" customHeight="1" spans="1:8">
      <c r="A591" s="6">
        <v>589</v>
      </c>
      <c r="B591" s="7" t="str">
        <f t="shared" si="130"/>
        <v>102</v>
      </c>
      <c r="C591" s="7" t="s">
        <v>570</v>
      </c>
      <c r="D591" s="7" t="s">
        <v>571</v>
      </c>
      <c r="E591" s="7" t="str">
        <f>"王梦婷"</f>
        <v>王梦婷</v>
      </c>
      <c r="F591" s="7" t="str">
        <f t="shared" si="131"/>
        <v>女</v>
      </c>
      <c r="G591" s="7" t="s">
        <v>580</v>
      </c>
      <c r="H591" s="8"/>
    </row>
    <row r="592" ht="25" customHeight="1" spans="1:8">
      <c r="A592" s="6">
        <v>590</v>
      </c>
      <c r="B592" s="7" t="str">
        <f t="shared" si="130"/>
        <v>102</v>
      </c>
      <c r="C592" s="7" t="s">
        <v>570</v>
      </c>
      <c r="D592" s="7" t="s">
        <v>571</v>
      </c>
      <c r="E592" s="7" t="str">
        <f>"李小乐"</f>
        <v>李小乐</v>
      </c>
      <c r="F592" s="7" t="str">
        <f t="shared" si="131"/>
        <v>女</v>
      </c>
      <c r="G592" s="7" t="s">
        <v>581</v>
      </c>
      <c r="H592" s="8"/>
    </row>
    <row r="593" ht="25" customHeight="1" spans="1:8">
      <c r="A593" s="6">
        <v>591</v>
      </c>
      <c r="B593" s="7" t="str">
        <f t="shared" si="130"/>
        <v>102</v>
      </c>
      <c r="C593" s="7" t="s">
        <v>570</v>
      </c>
      <c r="D593" s="7" t="s">
        <v>571</v>
      </c>
      <c r="E593" s="7" t="str">
        <f>"李亚玲"</f>
        <v>李亚玲</v>
      </c>
      <c r="F593" s="7" t="str">
        <f t="shared" si="131"/>
        <v>女</v>
      </c>
      <c r="G593" s="7" t="s">
        <v>582</v>
      </c>
      <c r="H593" s="8"/>
    </row>
    <row r="594" ht="25" customHeight="1" spans="1:8">
      <c r="A594" s="6">
        <v>592</v>
      </c>
      <c r="B594" s="7" t="str">
        <f t="shared" si="130"/>
        <v>102</v>
      </c>
      <c r="C594" s="7" t="s">
        <v>570</v>
      </c>
      <c r="D594" s="7" t="s">
        <v>571</v>
      </c>
      <c r="E594" s="7" t="str">
        <f>"翁克娇"</f>
        <v>翁克娇</v>
      </c>
      <c r="F594" s="7" t="str">
        <f t="shared" si="131"/>
        <v>女</v>
      </c>
      <c r="G594" s="7" t="s">
        <v>583</v>
      </c>
      <c r="H594" s="8"/>
    </row>
    <row r="595" ht="25" customHeight="1" spans="1:8">
      <c r="A595" s="6">
        <v>593</v>
      </c>
      <c r="B595" s="7" t="str">
        <f t="shared" si="130"/>
        <v>102</v>
      </c>
      <c r="C595" s="7" t="s">
        <v>570</v>
      </c>
      <c r="D595" s="7" t="s">
        <v>571</v>
      </c>
      <c r="E595" s="7" t="str">
        <f>"林克帆"</f>
        <v>林克帆</v>
      </c>
      <c r="F595" s="7" t="str">
        <f t="shared" ref="F595:F598" si="132">"男"</f>
        <v>男</v>
      </c>
      <c r="G595" s="7" t="s">
        <v>584</v>
      </c>
      <c r="H595" s="8"/>
    </row>
    <row r="596" ht="25" customHeight="1" spans="1:8">
      <c r="A596" s="6">
        <v>594</v>
      </c>
      <c r="B596" s="7" t="str">
        <f t="shared" si="130"/>
        <v>102</v>
      </c>
      <c r="C596" s="7" t="s">
        <v>570</v>
      </c>
      <c r="D596" s="7" t="s">
        <v>571</v>
      </c>
      <c r="E596" s="7" t="str">
        <f>"吴德健"</f>
        <v>吴德健</v>
      </c>
      <c r="F596" s="7" t="str">
        <f t="shared" si="132"/>
        <v>男</v>
      </c>
      <c r="G596" s="7" t="s">
        <v>585</v>
      </c>
      <c r="H596" s="8"/>
    </row>
    <row r="597" ht="25" customHeight="1" spans="1:8">
      <c r="A597" s="6">
        <v>595</v>
      </c>
      <c r="B597" s="7" t="str">
        <f t="shared" si="130"/>
        <v>102</v>
      </c>
      <c r="C597" s="7" t="s">
        <v>570</v>
      </c>
      <c r="D597" s="7" t="s">
        <v>571</v>
      </c>
      <c r="E597" s="7" t="str">
        <f>"王可茜"</f>
        <v>王可茜</v>
      </c>
      <c r="F597" s="7" t="str">
        <f t="shared" ref="F597:F600" si="133">"女"</f>
        <v>女</v>
      </c>
      <c r="G597" s="7" t="s">
        <v>586</v>
      </c>
      <c r="H597" s="8"/>
    </row>
    <row r="598" ht="25" customHeight="1" spans="1:8">
      <c r="A598" s="6">
        <v>596</v>
      </c>
      <c r="B598" s="7" t="str">
        <f t="shared" si="130"/>
        <v>102</v>
      </c>
      <c r="C598" s="7" t="s">
        <v>570</v>
      </c>
      <c r="D598" s="7" t="s">
        <v>571</v>
      </c>
      <c r="E598" s="7" t="str">
        <f>"杨子坤"</f>
        <v>杨子坤</v>
      </c>
      <c r="F598" s="7" t="str">
        <f t="shared" si="132"/>
        <v>男</v>
      </c>
      <c r="G598" s="7" t="s">
        <v>587</v>
      </c>
      <c r="H598" s="8"/>
    </row>
    <row r="599" ht="25" customHeight="1" spans="1:8">
      <c r="A599" s="6">
        <v>597</v>
      </c>
      <c r="B599" s="7" t="str">
        <f t="shared" si="130"/>
        <v>102</v>
      </c>
      <c r="C599" s="7" t="s">
        <v>570</v>
      </c>
      <c r="D599" s="7" t="s">
        <v>571</v>
      </c>
      <c r="E599" s="7" t="str">
        <f>"王海运"</f>
        <v>王海运</v>
      </c>
      <c r="F599" s="7" t="str">
        <f t="shared" si="133"/>
        <v>女</v>
      </c>
      <c r="G599" s="7" t="s">
        <v>588</v>
      </c>
      <c r="H599" s="8"/>
    </row>
    <row r="600" ht="25" customHeight="1" spans="1:8">
      <c r="A600" s="6">
        <v>598</v>
      </c>
      <c r="B600" s="7" t="str">
        <f t="shared" si="130"/>
        <v>102</v>
      </c>
      <c r="C600" s="7" t="s">
        <v>570</v>
      </c>
      <c r="D600" s="7" t="s">
        <v>571</v>
      </c>
      <c r="E600" s="7" t="str">
        <f>"孙娴蔓"</f>
        <v>孙娴蔓</v>
      </c>
      <c r="F600" s="7" t="str">
        <f t="shared" si="133"/>
        <v>女</v>
      </c>
      <c r="G600" s="7" t="s">
        <v>589</v>
      </c>
      <c r="H600" s="8"/>
    </row>
    <row r="601" ht="25" customHeight="1" spans="1:8">
      <c r="A601" s="6">
        <v>599</v>
      </c>
      <c r="B601" s="7" t="str">
        <f t="shared" si="130"/>
        <v>102</v>
      </c>
      <c r="C601" s="7" t="s">
        <v>570</v>
      </c>
      <c r="D601" s="7" t="s">
        <v>571</v>
      </c>
      <c r="E601" s="7" t="str">
        <f>"张先毅"</f>
        <v>张先毅</v>
      </c>
      <c r="F601" s="7" t="str">
        <f t="shared" ref="F601:F603" si="134">"男"</f>
        <v>男</v>
      </c>
      <c r="G601" s="7" t="s">
        <v>590</v>
      </c>
      <c r="H601" s="8"/>
    </row>
    <row r="602" ht="25" customHeight="1" spans="1:8">
      <c r="A602" s="6">
        <v>600</v>
      </c>
      <c r="B602" s="7" t="str">
        <f t="shared" si="130"/>
        <v>102</v>
      </c>
      <c r="C602" s="7" t="s">
        <v>570</v>
      </c>
      <c r="D602" s="7" t="s">
        <v>571</v>
      </c>
      <c r="E602" s="7" t="str">
        <f>"钟可鑫"</f>
        <v>钟可鑫</v>
      </c>
      <c r="F602" s="7" t="str">
        <f t="shared" si="134"/>
        <v>男</v>
      </c>
      <c r="G602" s="7" t="s">
        <v>591</v>
      </c>
      <c r="H602" s="8"/>
    </row>
    <row r="603" ht="25" customHeight="1" spans="1:8">
      <c r="A603" s="6">
        <v>601</v>
      </c>
      <c r="B603" s="7" t="str">
        <f t="shared" si="130"/>
        <v>102</v>
      </c>
      <c r="C603" s="7" t="s">
        <v>570</v>
      </c>
      <c r="D603" s="7" t="s">
        <v>571</v>
      </c>
      <c r="E603" s="7" t="str">
        <f>"王海林"</f>
        <v>王海林</v>
      </c>
      <c r="F603" s="7" t="str">
        <f t="shared" si="134"/>
        <v>男</v>
      </c>
      <c r="G603" s="7" t="s">
        <v>592</v>
      </c>
      <c r="H603" s="8"/>
    </row>
    <row r="604" ht="25" customHeight="1" spans="1:8">
      <c r="A604" s="6">
        <v>602</v>
      </c>
      <c r="B604" s="7" t="str">
        <f t="shared" si="130"/>
        <v>102</v>
      </c>
      <c r="C604" s="7" t="s">
        <v>570</v>
      </c>
      <c r="D604" s="7" t="s">
        <v>571</v>
      </c>
      <c r="E604" s="7" t="str">
        <f>"李海燕"</f>
        <v>李海燕</v>
      </c>
      <c r="F604" s="7" t="str">
        <f t="shared" ref="F604:F608" si="135">"女"</f>
        <v>女</v>
      </c>
      <c r="G604" s="7" t="s">
        <v>593</v>
      </c>
      <c r="H604" s="8"/>
    </row>
    <row r="605" ht="25" customHeight="1" spans="1:8">
      <c r="A605" s="6">
        <v>603</v>
      </c>
      <c r="B605" s="7" t="str">
        <f t="shared" si="130"/>
        <v>102</v>
      </c>
      <c r="C605" s="7" t="s">
        <v>570</v>
      </c>
      <c r="D605" s="7" t="s">
        <v>571</v>
      </c>
      <c r="E605" s="7" t="str">
        <f>"吴国瑞"</f>
        <v>吴国瑞</v>
      </c>
      <c r="F605" s="7" t="str">
        <f t="shared" ref="F605:F609" si="136">"男"</f>
        <v>男</v>
      </c>
      <c r="G605" s="7" t="s">
        <v>594</v>
      </c>
      <c r="H605" s="8"/>
    </row>
    <row r="606" ht="25" customHeight="1" spans="1:8">
      <c r="A606" s="6">
        <v>604</v>
      </c>
      <c r="B606" s="7" t="str">
        <f t="shared" si="130"/>
        <v>102</v>
      </c>
      <c r="C606" s="7" t="s">
        <v>570</v>
      </c>
      <c r="D606" s="7" t="s">
        <v>571</v>
      </c>
      <c r="E606" s="7" t="str">
        <f>"符永康"</f>
        <v>符永康</v>
      </c>
      <c r="F606" s="7" t="str">
        <f t="shared" si="136"/>
        <v>男</v>
      </c>
      <c r="G606" s="7" t="s">
        <v>595</v>
      </c>
      <c r="H606" s="8"/>
    </row>
    <row r="607" ht="25" customHeight="1" spans="1:8">
      <c r="A607" s="6">
        <v>605</v>
      </c>
      <c r="B607" s="7" t="str">
        <f t="shared" si="130"/>
        <v>102</v>
      </c>
      <c r="C607" s="7" t="s">
        <v>570</v>
      </c>
      <c r="D607" s="7" t="s">
        <v>571</v>
      </c>
      <c r="E607" s="7" t="str">
        <f>"夏娟"</f>
        <v>夏娟</v>
      </c>
      <c r="F607" s="7" t="str">
        <f t="shared" si="135"/>
        <v>女</v>
      </c>
      <c r="G607" s="7" t="s">
        <v>596</v>
      </c>
      <c r="H607" s="8"/>
    </row>
    <row r="608" ht="25" customHeight="1" spans="1:8">
      <c r="A608" s="6">
        <v>606</v>
      </c>
      <c r="B608" s="7" t="str">
        <f t="shared" si="130"/>
        <v>102</v>
      </c>
      <c r="C608" s="7" t="s">
        <v>570</v>
      </c>
      <c r="D608" s="7" t="s">
        <v>571</v>
      </c>
      <c r="E608" s="7" t="str">
        <f>"王京"</f>
        <v>王京</v>
      </c>
      <c r="F608" s="7" t="str">
        <f t="shared" si="135"/>
        <v>女</v>
      </c>
      <c r="G608" s="7" t="s">
        <v>597</v>
      </c>
      <c r="H608" s="8"/>
    </row>
    <row r="609" ht="25" customHeight="1" spans="1:8">
      <c r="A609" s="6">
        <v>607</v>
      </c>
      <c r="B609" s="7" t="str">
        <f t="shared" si="130"/>
        <v>102</v>
      </c>
      <c r="C609" s="7" t="s">
        <v>570</v>
      </c>
      <c r="D609" s="7" t="s">
        <v>571</v>
      </c>
      <c r="E609" s="7" t="str">
        <f>"杨志伟"</f>
        <v>杨志伟</v>
      </c>
      <c r="F609" s="7" t="str">
        <f t="shared" si="136"/>
        <v>男</v>
      </c>
      <c r="G609" s="7" t="s">
        <v>598</v>
      </c>
      <c r="H609" s="8"/>
    </row>
    <row r="610" ht="25" customHeight="1" spans="1:8">
      <c r="A610" s="6">
        <v>608</v>
      </c>
      <c r="B610" s="7" t="str">
        <f t="shared" si="130"/>
        <v>102</v>
      </c>
      <c r="C610" s="7" t="s">
        <v>570</v>
      </c>
      <c r="D610" s="7" t="s">
        <v>571</v>
      </c>
      <c r="E610" s="7" t="str">
        <f>"吴优"</f>
        <v>吴优</v>
      </c>
      <c r="F610" s="7" t="str">
        <f t="shared" ref="F610:F621" si="137">"女"</f>
        <v>女</v>
      </c>
      <c r="G610" s="7" t="s">
        <v>599</v>
      </c>
      <c r="H610" s="8"/>
    </row>
    <row r="611" ht="25" customHeight="1" spans="1:8">
      <c r="A611" s="6">
        <v>609</v>
      </c>
      <c r="B611" s="7" t="str">
        <f t="shared" si="130"/>
        <v>102</v>
      </c>
      <c r="C611" s="7" t="s">
        <v>570</v>
      </c>
      <c r="D611" s="7" t="s">
        <v>571</v>
      </c>
      <c r="E611" s="7" t="str">
        <f>"林文强"</f>
        <v>林文强</v>
      </c>
      <c r="F611" s="7" t="str">
        <f t="shared" ref="F611:F614" si="138">"男"</f>
        <v>男</v>
      </c>
      <c r="G611" s="7" t="s">
        <v>600</v>
      </c>
      <c r="H611" s="8"/>
    </row>
    <row r="612" ht="25" customHeight="1" spans="1:8">
      <c r="A612" s="6">
        <v>610</v>
      </c>
      <c r="B612" s="7" t="str">
        <f t="shared" si="130"/>
        <v>102</v>
      </c>
      <c r="C612" s="7" t="s">
        <v>570</v>
      </c>
      <c r="D612" s="7" t="s">
        <v>571</v>
      </c>
      <c r="E612" s="7" t="str">
        <f>"王雪梅"</f>
        <v>王雪梅</v>
      </c>
      <c r="F612" s="7" t="str">
        <f t="shared" si="137"/>
        <v>女</v>
      </c>
      <c r="G612" s="7" t="s">
        <v>601</v>
      </c>
      <c r="H612" s="8"/>
    </row>
    <row r="613" ht="25" customHeight="1" spans="1:8">
      <c r="A613" s="6">
        <v>611</v>
      </c>
      <c r="B613" s="7" t="str">
        <f t="shared" si="130"/>
        <v>102</v>
      </c>
      <c r="C613" s="7" t="s">
        <v>570</v>
      </c>
      <c r="D613" s="7" t="s">
        <v>571</v>
      </c>
      <c r="E613" s="7" t="str">
        <f>"周千昆"</f>
        <v>周千昆</v>
      </c>
      <c r="F613" s="7" t="str">
        <f t="shared" si="138"/>
        <v>男</v>
      </c>
      <c r="G613" s="7" t="s">
        <v>602</v>
      </c>
      <c r="H613" s="8"/>
    </row>
    <row r="614" ht="25" customHeight="1" spans="1:8">
      <c r="A614" s="6">
        <v>612</v>
      </c>
      <c r="B614" s="7" t="str">
        <f t="shared" si="130"/>
        <v>102</v>
      </c>
      <c r="C614" s="7" t="s">
        <v>570</v>
      </c>
      <c r="D614" s="7" t="s">
        <v>571</v>
      </c>
      <c r="E614" s="7" t="str">
        <f>"曾春皓"</f>
        <v>曾春皓</v>
      </c>
      <c r="F614" s="7" t="str">
        <f t="shared" si="138"/>
        <v>男</v>
      </c>
      <c r="G614" s="7" t="s">
        <v>603</v>
      </c>
      <c r="H614" s="8"/>
    </row>
    <row r="615" ht="25" customHeight="1" spans="1:8">
      <c r="A615" s="6">
        <v>613</v>
      </c>
      <c r="B615" s="7" t="str">
        <f t="shared" si="130"/>
        <v>102</v>
      </c>
      <c r="C615" s="7" t="s">
        <v>570</v>
      </c>
      <c r="D615" s="7" t="s">
        <v>571</v>
      </c>
      <c r="E615" s="7" t="str">
        <f>"郭依婷"</f>
        <v>郭依婷</v>
      </c>
      <c r="F615" s="7" t="str">
        <f t="shared" si="137"/>
        <v>女</v>
      </c>
      <c r="G615" s="7" t="s">
        <v>604</v>
      </c>
      <c r="H615" s="8"/>
    </row>
    <row r="616" ht="25" customHeight="1" spans="1:8">
      <c r="A616" s="6">
        <v>614</v>
      </c>
      <c r="B616" s="7" t="str">
        <f t="shared" si="130"/>
        <v>102</v>
      </c>
      <c r="C616" s="7" t="s">
        <v>570</v>
      </c>
      <c r="D616" s="7" t="s">
        <v>571</v>
      </c>
      <c r="E616" s="7" t="str">
        <f>"李江柳"</f>
        <v>李江柳</v>
      </c>
      <c r="F616" s="7" t="str">
        <f t="shared" si="137"/>
        <v>女</v>
      </c>
      <c r="G616" s="7" t="s">
        <v>605</v>
      </c>
      <c r="H616" s="8"/>
    </row>
    <row r="617" ht="25" customHeight="1" spans="1:8">
      <c r="A617" s="6">
        <v>615</v>
      </c>
      <c r="B617" s="7" t="str">
        <f t="shared" si="130"/>
        <v>102</v>
      </c>
      <c r="C617" s="7" t="s">
        <v>570</v>
      </c>
      <c r="D617" s="7" t="s">
        <v>571</v>
      </c>
      <c r="E617" s="7" t="str">
        <f>"高雨飘"</f>
        <v>高雨飘</v>
      </c>
      <c r="F617" s="7" t="str">
        <f t="shared" si="137"/>
        <v>女</v>
      </c>
      <c r="G617" s="7" t="s">
        <v>10</v>
      </c>
      <c r="H617" s="8"/>
    </row>
    <row r="618" ht="25" customHeight="1" spans="1:8">
      <c r="A618" s="6">
        <v>616</v>
      </c>
      <c r="B618" s="7" t="str">
        <f t="shared" si="130"/>
        <v>102</v>
      </c>
      <c r="C618" s="7" t="s">
        <v>570</v>
      </c>
      <c r="D618" s="7" t="s">
        <v>571</v>
      </c>
      <c r="E618" s="7" t="str">
        <f>"廖明娟"</f>
        <v>廖明娟</v>
      </c>
      <c r="F618" s="7" t="str">
        <f t="shared" si="137"/>
        <v>女</v>
      </c>
      <c r="G618" s="7" t="s">
        <v>606</v>
      </c>
      <c r="H618" s="8"/>
    </row>
    <row r="619" ht="25" customHeight="1" spans="1:8">
      <c r="A619" s="6">
        <v>617</v>
      </c>
      <c r="B619" s="7" t="str">
        <f t="shared" si="130"/>
        <v>102</v>
      </c>
      <c r="C619" s="7" t="s">
        <v>570</v>
      </c>
      <c r="D619" s="7" t="s">
        <v>571</v>
      </c>
      <c r="E619" s="7" t="str">
        <f>"王文君"</f>
        <v>王文君</v>
      </c>
      <c r="F619" s="7" t="str">
        <f t="shared" si="137"/>
        <v>女</v>
      </c>
      <c r="G619" s="7" t="s">
        <v>607</v>
      </c>
      <c r="H619" s="8"/>
    </row>
    <row r="620" ht="25" customHeight="1" spans="1:8">
      <c r="A620" s="6">
        <v>618</v>
      </c>
      <c r="B620" s="7" t="str">
        <f t="shared" si="130"/>
        <v>102</v>
      </c>
      <c r="C620" s="7" t="s">
        <v>570</v>
      </c>
      <c r="D620" s="7" t="s">
        <v>571</v>
      </c>
      <c r="E620" s="7" t="str">
        <f>"王昌婷"</f>
        <v>王昌婷</v>
      </c>
      <c r="F620" s="7" t="str">
        <f t="shared" si="137"/>
        <v>女</v>
      </c>
      <c r="G620" s="7" t="s">
        <v>161</v>
      </c>
      <c r="H620" s="8"/>
    </row>
    <row r="621" ht="25" customHeight="1" spans="1:8">
      <c r="A621" s="6">
        <v>619</v>
      </c>
      <c r="B621" s="7" t="str">
        <f t="shared" si="130"/>
        <v>102</v>
      </c>
      <c r="C621" s="7" t="s">
        <v>570</v>
      </c>
      <c r="D621" s="7" t="s">
        <v>571</v>
      </c>
      <c r="E621" s="7" t="str">
        <f>"彭小芸"</f>
        <v>彭小芸</v>
      </c>
      <c r="F621" s="7" t="str">
        <f t="shared" si="137"/>
        <v>女</v>
      </c>
      <c r="G621" s="7" t="s">
        <v>608</v>
      </c>
      <c r="H621" s="8"/>
    </row>
    <row r="622" ht="25" customHeight="1" spans="1:8">
      <c r="A622" s="6">
        <v>620</v>
      </c>
      <c r="B622" s="7" t="str">
        <f t="shared" si="130"/>
        <v>102</v>
      </c>
      <c r="C622" s="7" t="s">
        <v>570</v>
      </c>
      <c r="D622" s="7" t="s">
        <v>571</v>
      </c>
      <c r="E622" s="7" t="str">
        <f>"吴秀峰"</f>
        <v>吴秀峰</v>
      </c>
      <c r="F622" s="7" t="str">
        <f t="shared" ref="F622:F626" si="139">"男"</f>
        <v>男</v>
      </c>
      <c r="G622" s="7" t="s">
        <v>609</v>
      </c>
      <c r="H622" s="8"/>
    </row>
    <row r="623" ht="25" customHeight="1" spans="1:8">
      <c r="A623" s="6">
        <v>621</v>
      </c>
      <c r="B623" s="7" t="str">
        <f t="shared" si="130"/>
        <v>102</v>
      </c>
      <c r="C623" s="7" t="s">
        <v>570</v>
      </c>
      <c r="D623" s="7" t="s">
        <v>571</v>
      </c>
      <c r="E623" s="7" t="str">
        <f>"韦佳慧"</f>
        <v>韦佳慧</v>
      </c>
      <c r="F623" s="7" t="str">
        <f t="shared" ref="F623:F628" si="140">"女"</f>
        <v>女</v>
      </c>
      <c r="G623" s="7" t="s">
        <v>610</v>
      </c>
      <c r="H623" s="8"/>
    </row>
    <row r="624" ht="25" customHeight="1" spans="1:8">
      <c r="A624" s="6">
        <v>622</v>
      </c>
      <c r="B624" s="7" t="str">
        <f t="shared" si="130"/>
        <v>102</v>
      </c>
      <c r="C624" s="7" t="s">
        <v>570</v>
      </c>
      <c r="D624" s="7" t="s">
        <v>571</v>
      </c>
      <c r="E624" s="7" t="str">
        <f>"蔡汝松"</f>
        <v>蔡汝松</v>
      </c>
      <c r="F624" s="7" t="str">
        <f t="shared" si="139"/>
        <v>男</v>
      </c>
      <c r="G624" s="7" t="s">
        <v>611</v>
      </c>
      <c r="H624" s="8"/>
    </row>
    <row r="625" ht="25" customHeight="1" spans="1:8">
      <c r="A625" s="6">
        <v>623</v>
      </c>
      <c r="B625" s="7" t="str">
        <f t="shared" si="130"/>
        <v>102</v>
      </c>
      <c r="C625" s="7" t="s">
        <v>570</v>
      </c>
      <c r="D625" s="7" t="s">
        <v>571</v>
      </c>
      <c r="E625" s="7" t="str">
        <f>"杜才友"</f>
        <v>杜才友</v>
      </c>
      <c r="F625" s="7" t="str">
        <f t="shared" si="139"/>
        <v>男</v>
      </c>
      <c r="G625" s="7" t="s">
        <v>612</v>
      </c>
      <c r="H625" s="8"/>
    </row>
    <row r="626" ht="25" customHeight="1" spans="1:8">
      <c r="A626" s="6">
        <v>624</v>
      </c>
      <c r="B626" s="7" t="str">
        <f t="shared" si="130"/>
        <v>102</v>
      </c>
      <c r="C626" s="7" t="s">
        <v>570</v>
      </c>
      <c r="D626" s="7" t="s">
        <v>571</v>
      </c>
      <c r="E626" s="7" t="str">
        <f>"符策玺"</f>
        <v>符策玺</v>
      </c>
      <c r="F626" s="7" t="str">
        <f t="shared" si="139"/>
        <v>男</v>
      </c>
      <c r="G626" s="7" t="s">
        <v>613</v>
      </c>
      <c r="H626" s="8"/>
    </row>
    <row r="627" ht="25" customHeight="1" spans="1:8">
      <c r="A627" s="6">
        <v>625</v>
      </c>
      <c r="B627" s="7" t="str">
        <f t="shared" si="130"/>
        <v>102</v>
      </c>
      <c r="C627" s="7" t="s">
        <v>570</v>
      </c>
      <c r="D627" s="7" t="s">
        <v>571</v>
      </c>
      <c r="E627" s="7" t="str">
        <f>"易碧霞"</f>
        <v>易碧霞</v>
      </c>
      <c r="F627" s="7" t="str">
        <f t="shared" si="140"/>
        <v>女</v>
      </c>
      <c r="G627" s="7" t="s">
        <v>614</v>
      </c>
      <c r="H627" s="8"/>
    </row>
    <row r="628" ht="25" customHeight="1" spans="1:8">
      <c r="A628" s="6">
        <v>626</v>
      </c>
      <c r="B628" s="7" t="str">
        <f t="shared" si="130"/>
        <v>102</v>
      </c>
      <c r="C628" s="7" t="s">
        <v>570</v>
      </c>
      <c r="D628" s="7" t="s">
        <v>571</v>
      </c>
      <c r="E628" s="7" t="str">
        <f>"陈美桃"</f>
        <v>陈美桃</v>
      </c>
      <c r="F628" s="7" t="str">
        <f t="shared" si="140"/>
        <v>女</v>
      </c>
      <c r="G628" s="7" t="s">
        <v>615</v>
      </c>
      <c r="H628" s="8"/>
    </row>
    <row r="629" ht="25" customHeight="1" spans="1:8">
      <c r="A629" s="6">
        <v>627</v>
      </c>
      <c r="B629" s="7" t="str">
        <f t="shared" si="130"/>
        <v>102</v>
      </c>
      <c r="C629" s="7" t="s">
        <v>570</v>
      </c>
      <c r="D629" s="7" t="s">
        <v>571</v>
      </c>
      <c r="E629" s="7" t="str">
        <f>"林法明"</f>
        <v>林法明</v>
      </c>
      <c r="F629" s="7" t="str">
        <f t="shared" ref="F629:F634" si="141">"男"</f>
        <v>男</v>
      </c>
      <c r="G629" s="7" t="s">
        <v>616</v>
      </c>
      <c r="H629" s="8"/>
    </row>
    <row r="630" ht="25" customHeight="1" spans="1:8">
      <c r="A630" s="6">
        <v>628</v>
      </c>
      <c r="B630" s="7" t="str">
        <f t="shared" si="130"/>
        <v>102</v>
      </c>
      <c r="C630" s="7" t="s">
        <v>570</v>
      </c>
      <c r="D630" s="7" t="s">
        <v>571</v>
      </c>
      <c r="E630" s="7" t="str">
        <f>"陈祖照"</f>
        <v>陈祖照</v>
      </c>
      <c r="F630" s="7" t="str">
        <f t="shared" si="141"/>
        <v>男</v>
      </c>
      <c r="G630" s="7" t="s">
        <v>250</v>
      </c>
      <c r="H630" s="8"/>
    </row>
    <row r="631" ht="25" customHeight="1" spans="1:8">
      <c r="A631" s="6">
        <v>629</v>
      </c>
      <c r="B631" s="7" t="str">
        <f t="shared" si="130"/>
        <v>102</v>
      </c>
      <c r="C631" s="7" t="s">
        <v>570</v>
      </c>
      <c r="D631" s="7" t="s">
        <v>571</v>
      </c>
      <c r="E631" s="7" t="str">
        <f>"胡墨蝶"</f>
        <v>胡墨蝶</v>
      </c>
      <c r="F631" s="7" t="str">
        <f t="shared" ref="F631:F635" si="142">"女"</f>
        <v>女</v>
      </c>
      <c r="G631" s="7" t="s">
        <v>617</v>
      </c>
      <c r="H631" s="8"/>
    </row>
    <row r="632" ht="25" customHeight="1" spans="1:8">
      <c r="A632" s="6">
        <v>630</v>
      </c>
      <c r="B632" s="7" t="str">
        <f t="shared" si="130"/>
        <v>102</v>
      </c>
      <c r="C632" s="7" t="s">
        <v>570</v>
      </c>
      <c r="D632" s="7" t="s">
        <v>571</v>
      </c>
      <c r="E632" s="7" t="str">
        <f>"林丽霞"</f>
        <v>林丽霞</v>
      </c>
      <c r="F632" s="7" t="str">
        <f t="shared" si="142"/>
        <v>女</v>
      </c>
      <c r="G632" s="7" t="s">
        <v>618</v>
      </c>
      <c r="H632" s="8"/>
    </row>
    <row r="633" ht="25" customHeight="1" spans="1:8">
      <c r="A633" s="6">
        <v>631</v>
      </c>
      <c r="B633" s="7" t="str">
        <f t="shared" si="130"/>
        <v>102</v>
      </c>
      <c r="C633" s="7" t="s">
        <v>570</v>
      </c>
      <c r="D633" s="7" t="s">
        <v>571</v>
      </c>
      <c r="E633" s="7" t="str">
        <f>"黄恺迪"</f>
        <v>黄恺迪</v>
      </c>
      <c r="F633" s="7" t="str">
        <f t="shared" si="141"/>
        <v>男</v>
      </c>
      <c r="G633" s="7" t="s">
        <v>619</v>
      </c>
      <c r="H633" s="8"/>
    </row>
    <row r="634" ht="25" customHeight="1" spans="1:8">
      <c r="A634" s="6">
        <v>632</v>
      </c>
      <c r="B634" s="7" t="str">
        <f t="shared" si="130"/>
        <v>102</v>
      </c>
      <c r="C634" s="7" t="s">
        <v>570</v>
      </c>
      <c r="D634" s="7" t="s">
        <v>571</v>
      </c>
      <c r="E634" s="7" t="str">
        <f>"李玉鹏"</f>
        <v>李玉鹏</v>
      </c>
      <c r="F634" s="7" t="str">
        <f t="shared" si="141"/>
        <v>男</v>
      </c>
      <c r="G634" s="7" t="s">
        <v>620</v>
      </c>
      <c r="H634" s="8"/>
    </row>
    <row r="635" ht="25" customHeight="1" spans="1:8">
      <c r="A635" s="6">
        <v>633</v>
      </c>
      <c r="B635" s="7" t="str">
        <f t="shared" si="130"/>
        <v>102</v>
      </c>
      <c r="C635" s="7" t="s">
        <v>570</v>
      </c>
      <c r="D635" s="7" t="s">
        <v>571</v>
      </c>
      <c r="E635" s="7" t="str">
        <f>"卓小月"</f>
        <v>卓小月</v>
      </c>
      <c r="F635" s="7" t="str">
        <f t="shared" si="142"/>
        <v>女</v>
      </c>
      <c r="G635" s="7" t="s">
        <v>621</v>
      </c>
      <c r="H635" s="8"/>
    </row>
    <row r="636" ht="25" customHeight="1" spans="1:8">
      <c r="A636" s="6">
        <v>634</v>
      </c>
      <c r="B636" s="7" t="str">
        <f t="shared" si="130"/>
        <v>102</v>
      </c>
      <c r="C636" s="7" t="s">
        <v>570</v>
      </c>
      <c r="D636" s="7" t="s">
        <v>571</v>
      </c>
      <c r="E636" s="7" t="str">
        <f>"王美学"</f>
        <v>王美学</v>
      </c>
      <c r="F636" s="7" t="str">
        <f t="shared" ref="F636:F639" si="143">"男"</f>
        <v>男</v>
      </c>
      <c r="G636" s="7" t="s">
        <v>622</v>
      </c>
      <c r="H636" s="8"/>
    </row>
    <row r="637" ht="25" customHeight="1" spans="1:8">
      <c r="A637" s="6">
        <v>635</v>
      </c>
      <c r="B637" s="7" t="str">
        <f t="shared" si="130"/>
        <v>102</v>
      </c>
      <c r="C637" s="7" t="s">
        <v>570</v>
      </c>
      <c r="D637" s="7" t="s">
        <v>571</v>
      </c>
      <c r="E637" s="7" t="str">
        <f>"黎光彪"</f>
        <v>黎光彪</v>
      </c>
      <c r="F637" s="7" t="str">
        <f t="shared" si="143"/>
        <v>男</v>
      </c>
      <c r="G637" s="7" t="s">
        <v>239</v>
      </c>
      <c r="H637" s="8"/>
    </row>
    <row r="638" ht="25" customHeight="1" spans="1:8">
      <c r="A638" s="6">
        <v>636</v>
      </c>
      <c r="B638" s="7" t="str">
        <f t="shared" si="130"/>
        <v>102</v>
      </c>
      <c r="C638" s="7" t="s">
        <v>570</v>
      </c>
      <c r="D638" s="7" t="s">
        <v>571</v>
      </c>
      <c r="E638" s="7" t="str">
        <f>"王春彩"</f>
        <v>王春彩</v>
      </c>
      <c r="F638" s="7" t="str">
        <f t="shared" ref="F638:F642" si="144">"女"</f>
        <v>女</v>
      </c>
      <c r="G638" s="7" t="s">
        <v>623</v>
      </c>
      <c r="H638" s="8"/>
    </row>
    <row r="639" ht="25" customHeight="1" spans="1:8">
      <c r="A639" s="6">
        <v>637</v>
      </c>
      <c r="B639" s="7" t="str">
        <f t="shared" si="130"/>
        <v>102</v>
      </c>
      <c r="C639" s="7" t="s">
        <v>570</v>
      </c>
      <c r="D639" s="7" t="s">
        <v>571</v>
      </c>
      <c r="E639" s="7" t="str">
        <f>"吴含泽"</f>
        <v>吴含泽</v>
      </c>
      <c r="F639" s="7" t="str">
        <f t="shared" si="143"/>
        <v>男</v>
      </c>
      <c r="G639" s="7" t="s">
        <v>624</v>
      </c>
      <c r="H639" s="8"/>
    </row>
    <row r="640" ht="25" customHeight="1" spans="1:8">
      <c r="A640" s="6">
        <v>638</v>
      </c>
      <c r="B640" s="7" t="str">
        <f t="shared" si="130"/>
        <v>102</v>
      </c>
      <c r="C640" s="7" t="s">
        <v>570</v>
      </c>
      <c r="D640" s="7" t="s">
        <v>571</v>
      </c>
      <c r="E640" s="7" t="str">
        <f>"王遥"</f>
        <v>王遥</v>
      </c>
      <c r="F640" s="7" t="str">
        <f t="shared" si="144"/>
        <v>女</v>
      </c>
      <c r="G640" s="7" t="s">
        <v>625</v>
      </c>
      <c r="H640" s="8"/>
    </row>
    <row r="641" ht="25" customHeight="1" spans="1:8">
      <c r="A641" s="6">
        <v>639</v>
      </c>
      <c r="B641" s="7" t="str">
        <f t="shared" si="130"/>
        <v>102</v>
      </c>
      <c r="C641" s="7" t="s">
        <v>570</v>
      </c>
      <c r="D641" s="7" t="s">
        <v>571</v>
      </c>
      <c r="E641" s="7" t="str">
        <f>"王淑娜"</f>
        <v>王淑娜</v>
      </c>
      <c r="F641" s="7" t="str">
        <f t="shared" si="144"/>
        <v>女</v>
      </c>
      <c r="G641" s="7" t="s">
        <v>626</v>
      </c>
      <c r="H641" s="8"/>
    </row>
    <row r="642" ht="25" customHeight="1" spans="1:8">
      <c r="A642" s="6">
        <v>640</v>
      </c>
      <c r="B642" s="7" t="str">
        <f t="shared" si="130"/>
        <v>102</v>
      </c>
      <c r="C642" s="7" t="s">
        <v>570</v>
      </c>
      <c r="D642" s="7" t="s">
        <v>571</v>
      </c>
      <c r="E642" s="7" t="str">
        <f>"封玲"</f>
        <v>封玲</v>
      </c>
      <c r="F642" s="7" t="str">
        <f t="shared" si="144"/>
        <v>女</v>
      </c>
      <c r="G642" s="7" t="s">
        <v>627</v>
      </c>
      <c r="H642" s="8"/>
    </row>
    <row r="643" ht="25" customHeight="1" spans="1:8">
      <c r="A643" s="6">
        <v>641</v>
      </c>
      <c r="B643" s="7" t="str">
        <f t="shared" si="130"/>
        <v>102</v>
      </c>
      <c r="C643" s="7" t="s">
        <v>570</v>
      </c>
      <c r="D643" s="7" t="s">
        <v>571</v>
      </c>
      <c r="E643" s="7" t="str">
        <f>"贾绍亮"</f>
        <v>贾绍亮</v>
      </c>
      <c r="F643" s="7" t="str">
        <f>"男"</f>
        <v>男</v>
      </c>
      <c r="G643" s="7" t="s">
        <v>628</v>
      </c>
      <c r="H643" s="8"/>
    </row>
    <row r="644" ht="25" customHeight="1" spans="1:8">
      <c r="A644" s="6">
        <v>642</v>
      </c>
      <c r="B644" s="7" t="str">
        <f t="shared" si="130"/>
        <v>102</v>
      </c>
      <c r="C644" s="7" t="s">
        <v>570</v>
      </c>
      <c r="D644" s="7" t="s">
        <v>571</v>
      </c>
      <c r="E644" s="7" t="str">
        <f>"南希"</f>
        <v>南希</v>
      </c>
      <c r="F644" s="7" t="str">
        <f t="shared" ref="F644:F649" si="145">"女"</f>
        <v>女</v>
      </c>
      <c r="G644" s="7" t="s">
        <v>629</v>
      </c>
      <c r="H644" s="8"/>
    </row>
    <row r="645" ht="25" customHeight="1" spans="1:8">
      <c r="A645" s="6">
        <v>643</v>
      </c>
      <c r="B645" s="7" t="str">
        <f t="shared" si="130"/>
        <v>102</v>
      </c>
      <c r="C645" s="7" t="s">
        <v>570</v>
      </c>
      <c r="D645" s="7" t="s">
        <v>571</v>
      </c>
      <c r="E645" s="7" t="str">
        <f>"欧绪岷"</f>
        <v>欧绪岷</v>
      </c>
      <c r="F645" s="7" t="str">
        <f>"男"</f>
        <v>男</v>
      </c>
      <c r="G645" s="7" t="s">
        <v>630</v>
      </c>
      <c r="H645" s="8"/>
    </row>
    <row r="646" ht="25" customHeight="1" spans="1:8">
      <c r="A646" s="6">
        <v>644</v>
      </c>
      <c r="B646" s="7" t="str">
        <f t="shared" si="130"/>
        <v>102</v>
      </c>
      <c r="C646" s="7" t="s">
        <v>570</v>
      </c>
      <c r="D646" s="7" t="s">
        <v>571</v>
      </c>
      <c r="E646" s="7" t="str">
        <f>"蓝慧卡"</f>
        <v>蓝慧卡</v>
      </c>
      <c r="F646" s="7" t="str">
        <f t="shared" si="145"/>
        <v>女</v>
      </c>
      <c r="G646" s="7" t="s">
        <v>631</v>
      </c>
      <c r="H646" s="8"/>
    </row>
    <row r="647" ht="25" customHeight="1" spans="1:8">
      <c r="A647" s="6">
        <v>645</v>
      </c>
      <c r="B647" s="7" t="str">
        <f t="shared" ref="B647:B679" si="146">"102"</f>
        <v>102</v>
      </c>
      <c r="C647" s="7" t="s">
        <v>570</v>
      </c>
      <c r="D647" s="7" t="s">
        <v>571</v>
      </c>
      <c r="E647" s="7" t="str">
        <f>"张莹莹"</f>
        <v>张莹莹</v>
      </c>
      <c r="F647" s="7" t="str">
        <f t="shared" si="145"/>
        <v>女</v>
      </c>
      <c r="G647" s="7" t="s">
        <v>632</v>
      </c>
      <c r="H647" s="8"/>
    </row>
    <row r="648" ht="25" customHeight="1" spans="1:8">
      <c r="A648" s="6">
        <v>646</v>
      </c>
      <c r="B648" s="7" t="str">
        <f t="shared" si="146"/>
        <v>102</v>
      </c>
      <c r="C648" s="7" t="s">
        <v>570</v>
      </c>
      <c r="D648" s="7" t="s">
        <v>571</v>
      </c>
      <c r="E648" s="7" t="str">
        <f>"林雲妃"</f>
        <v>林雲妃</v>
      </c>
      <c r="F648" s="7" t="str">
        <f t="shared" si="145"/>
        <v>女</v>
      </c>
      <c r="G648" s="7" t="s">
        <v>633</v>
      </c>
      <c r="H648" s="8"/>
    </row>
    <row r="649" ht="25" customHeight="1" spans="1:8">
      <c r="A649" s="6">
        <v>647</v>
      </c>
      <c r="B649" s="7" t="str">
        <f t="shared" si="146"/>
        <v>102</v>
      </c>
      <c r="C649" s="7" t="s">
        <v>570</v>
      </c>
      <c r="D649" s="7" t="s">
        <v>571</v>
      </c>
      <c r="E649" s="7" t="str">
        <f>"白茉宏"</f>
        <v>白茉宏</v>
      </c>
      <c r="F649" s="7" t="str">
        <f t="shared" si="145"/>
        <v>女</v>
      </c>
      <c r="G649" s="7" t="s">
        <v>634</v>
      </c>
      <c r="H649" s="8"/>
    </row>
    <row r="650" ht="25" customHeight="1" spans="1:8">
      <c r="A650" s="6">
        <v>648</v>
      </c>
      <c r="B650" s="7" t="str">
        <f t="shared" si="146"/>
        <v>102</v>
      </c>
      <c r="C650" s="7" t="s">
        <v>570</v>
      </c>
      <c r="D650" s="7" t="s">
        <v>571</v>
      </c>
      <c r="E650" s="7" t="str">
        <f>"廖家冰"</f>
        <v>廖家冰</v>
      </c>
      <c r="F650" s="7" t="str">
        <f t="shared" ref="F650:F654" si="147">"男"</f>
        <v>男</v>
      </c>
      <c r="G650" s="7" t="s">
        <v>635</v>
      </c>
      <c r="H650" s="8"/>
    </row>
    <row r="651" ht="25" customHeight="1" spans="1:8">
      <c r="A651" s="6">
        <v>649</v>
      </c>
      <c r="B651" s="7" t="str">
        <f t="shared" si="146"/>
        <v>102</v>
      </c>
      <c r="C651" s="7" t="s">
        <v>570</v>
      </c>
      <c r="D651" s="7" t="s">
        <v>571</v>
      </c>
      <c r="E651" s="7" t="str">
        <f>"陈伟"</f>
        <v>陈伟</v>
      </c>
      <c r="F651" s="7" t="str">
        <f t="shared" si="147"/>
        <v>男</v>
      </c>
      <c r="G651" s="7" t="s">
        <v>636</v>
      </c>
      <c r="H651" s="8"/>
    </row>
    <row r="652" ht="25" customHeight="1" spans="1:8">
      <c r="A652" s="6">
        <v>650</v>
      </c>
      <c r="B652" s="7" t="str">
        <f t="shared" si="146"/>
        <v>102</v>
      </c>
      <c r="C652" s="7" t="s">
        <v>570</v>
      </c>
      <c r="D652" s="7" t="s">
        <v>571</v>
      </c>
      <c r="E652" s="7" t="str">
        <f>"徐振姚"</f>
        <v>徐振姚</v>
      </c>
      <c r="F652" s="7" t="str">
        <f t="shared" ref="F652:F655" si="148">"女"</f>
        <v>女</v>
      </c>
      <c r="G652" s="7" t="s">
        <v>637</v>
      </c>
      <c r="H652" s="8"/>
    </row>
    <row r="653" ht="25" customHeight="1" spans="1:8">
      <c r="A653" s="6">
        <v>651</v>
      </c>
      <c r="B653" s="7" t="str">
        <f t="shared" si="146"/>
        <v>102</v>
      </c>
      <c r="C653" s="7" t="s">
        <v>570</v>
      </c>
      <c r="D653" s="7" t="s">
        <v>571</v>
      </c>
      <c r="E653" s="7" t="str">
        <f>"谭娜"</f>
        <v>谭娜</v>
      </c>
      <c r="F653" s="7" t="str">
        <f t="shared" si="148"/>
        <v>女</v>
      </c>
      <c r="G653" s="7" t="s">
        <v>638</v>
      </c>
      <c r="H653" s="8"/>
    </row>
    <row r="654" ht="25" customHeight="1" spans="1:8">
      <c r="A654" s="6">
        <v>652</v>
      </c>
      <c r="B654" s="7" t="str">
        <f t="shared" si="146"/>
        <v>102</v>
      </c>
      <c r="C654" s="7" t="s">
        <v>570</v>
      </c>
      <c r="D654" s="7" t="s">
        <v>571</v>
      </c>
      <c r="E654" s="7" t="str">
        <f>"董宝根"</f>
        <v>董宝根</v>
      </c>
      <c r="F654" s="7" t="str">
        <f t="shared" si="147"/>
        <v>男</v>
      </c>
      <c r="G654" s="7" t="s">
        <v>639</v>
      </c>
      <c r="H654" s="8"/>
    </row>
    <row r="655" ht="25" customHeight="1" spans="1:8">
      <c r="A655" s="6">
        <v>653</v>
      </c>
      <c r="B655" s="7" t="str">
        <f t="shared" si="146"/>
        <v>102</v>
      </c>
      <c r="C655" s="7" t="s">
        <v>570</v>
      </c>
      <c r="D655" s="7" t="s">
        <v>571</v>
      </c>
      <c r="E655" s="7" t="str">
        <f>"孙萌泽"</f>
        <v>孙萌泽</v>
      </c>
      <c r="F655" s="7" t="str">
        <f t="shared" si="148"/>
        <v>女</v>
      </c>
      <c r="G655" s="7" t="s">
        <v>640</v>
      </c>
      <c r="H655" s="8"/>
    </row>
    <row r="656" ht="25" customHeight="1" spans="1:8">
      <c r="A656" s="6">
        <v>654</v>
      </c>
      <c r="B656" s="7" t="str">
        <f t="shared" si="146"/>
        <v>102</v>
      </c>
      <c r="C656" s="7" t="s">
        <v>570</v>
      </c>
      <c r="D656" s="7" t="s">
        <v>571</v>
      </c>
      <c r="E656" s="7" t="str">
        <f>"唐超"</f>
        <v>唐超</v>
      </c>
      <c r="F656" s="7" t="str">
        <f t="shared" ref="F656:F659" si="149">"男"</f>
        <v>男</v>
      </c>
      <c r="G656" s="7" t="s">
        <v>641</v>
      </c>
      <c r="H656" s="8"/>
    </row>
    <row r="657" ht="25" customHeight="1" spans="1:8">
      <c r="A657" s="6">
        <v>655</v>
      </c>
      <c r="B657" s="7" t="str">
        <f t="shared" si="146"/>
        <v>102</v>
      </c>
      <c r="C657" s="7" t="s">
        <v>570</v>
      </c>
      <c r="D657" s="7" t="s">
        <v>571</v>
      </c>
      <c r="E657" s="7" t="str">
        <f>"郭金善"</f>
        <v>郭金善</v>
      </c>
      <c r="F657" s="7" t="str">
        <f t="shared" si="149"/>
        <v>男</v>
      </c>
      <c r="G657" s="7" t="s">
        <v>642</v>
      </c>
      <c r="H657" s="8"/>
    </row>
    <row r="658" ht="25" customHeight="1" spans="1:8">
      <c r="A658" s="6">
        <v>656</v>
      </c>
      <c r="B658" s="7" t="str">
        <f t="shared" si="146"/>
        <v>102</v>
      </c>
      <c r="C658" s="7" t="s">
        <v>570</v>
      </c>
      <c r="D658" s="7" t="s">
        <v>571</v>
      </c>
      <c r="E658" s="7" t="str">
        <f>"黄垂询"</f>
        <v>黄垂询</v>
      </c>
      <c r="F658" s="7" t="str">
        <f t="shared" ref="F658:F662" si="150">"女"</f>
        <v>女</v>
      </c>
      <c r="G658" s="7" t="s">
        <v>643</v>
      </c>
      <c r="H658" s="8"/>
    </row>
    <row r="659" ht="25" customHeight="1" spans="1:8">
      <c r="A659" s="6">
        <v>657</v>
      </c>
      <c r="B659" s="7" t="str">
        <f t="shared" si="146"/>
        <v>102</v>
      </c>
      <c r="C659" s="7" t="s">
        <v>570</v>
      </c>
      <c r="D659" s="7" t="s">
        <v>571</v>
      </c>
      <c r="E659" s="7" t="str">
        <f>"陈奎松"</f>
        <v>陈奎松</v>
      </c>
      <c r="F659" s="7" t="str">
        <f t="shared" si="149"/>
        <v>男</v>
      </c>
      <c r="G659" s="7" t="s">
        <v>644</v>
      </c>
      <c r="H659" s="8"/>
    </row>
    <row r="660" ht="25" customHeight="1" spans="1:8">
      <c r="A660" s="6">
        <v>658</v>
      </c>
      <c r="B660" s="7" t="str">
        <f t="shared" si="146"/>
        <v>102</v>
      </c>
      <c r="C660" s="7" t="s">
        <v>570</v>
      </c>
      <c r="D660" s="7" t="s">
        <v>571</v>
      </c>
      <c r="E660" s="7" t="str">
        <f>"罗露露"</f>
        <v>罗露露</v>
      </c>
      <c r="F660" s="7" t="str">
        <f t="shared" si="150"/>
        <v>女</v>
      </c>
      <c r="G660" s="7" t="s">
        <v>645</v>
      </c>
      <c r="H660" s="8"/>
    </row>
    <row r="661" ht="25" customHeight="1" spans="1:8">
      <c r="A661" s="6">
        <v>659</v>
      </c>
      <c r="B661" s="7" t="str">
        <f t="shared" si="146"/>
        <v>102</v>
      </c>
      <c r="C661" s="7" t="s">
        <v>570</v>
      </c>
      <c r="D661" s="7" t="s">
        <v>571</v>
      </c>
      <c r="E661" s="7" t="str">
        <f>"任雪珂"</f>
        <v>任雪珂</v>
      </c>
      <c r="F661" s="7" t="str">
        <f t="shared" si="150"/>
        <v>女</v>
      </c>
      <c r="G661" s="7" t="s">
        <v>646</v>
      </c>
      <c r="H661" s="8"/>
    </row>
    <row r="662" ht="25" customHeight="1" spans="1:8">
      <c r="A662" s="6">
        <v>660</v>
      </c>
      <c r="B662" s="7" t="str">
        <f t="shared" si="146"/>
        <v>102</v>
      </c>
      <c r="C662" s="7" t="s">
        <v>570</v>
      </c>
      <c r="D662" s="7" t="s">
        <v>571</v>
      </c>
      <c r="E662" s="7" t="str">
        <f>"潘可盈"</f>
        <v>潘可盈</v>
      </c>
      <c r="F662" s="7" t="str">
        <f t="shared" si="150"/>
        <v>女</v>
      </c>
      <c r="G662" s="7" t="s">
        <v>376</v>
      </c>
      <c r="H662" s="8"/>
    </row>
    <row r="663" ht="25" customHeight="1" spans="1:8">
      <c r="A663" s="6">
        <v>661</v>
      </c>
      <c r="B663" s="7" t="str">
        <f t="shared" si="146"/>
        <v>102</v>
      </c>
      <c r="C663" s="7" t="s">
        <v>570</v>
      </c>
      <c r="D663" s="7" t="s">
        <v>571</v>
      </c>
      <c r="E663" s="7" t="str">
        <f>"潘中榜"</f>
        <v>潘中榜</v>
      </c>
      <c r="F663" s="7" t="str">
        <f t="shared" ref="F663:F665" si="151">"男"</f>
        <v>男</v>
      </c>
      <c r="G663" s="7" t="s">
        <v>647</v>
      </c>
      <c r="H663" s="8"/>
    </row>
    <row r="664" ht="25" customHeight="1" spans="1:8">
      <c r="A664" s="6">
        <v>662</v>
      </c>
      <c r="B664" s="7" t="str">
        <f t="shared" si="146"/>
        <v>102</v>
      </c>
      <c r="C664" s="7" t="s">
        <v>570</v>
      </c>
      <c r="D664" s="7" t="s">
        <v>571</v>
      </c>
      <c r="E664" s="7" t="str">
        <f>"陆恒"</f>
        <v>陆恒</v>
      </c>
      <c r="F664" s="7" t="str">
        <f t="shared" si="151"/>
        <v>男</v>
      </c>
      <c r="G664" s="7" t="s">
        <v>648</v>
      </c>
      <c r="H664" s="8"/>
    </row>
    <row r="665" ht="25" customHeight="1" spans="1:8">
      <c r="A665" s="6">
        <v>663</v>
      </c>
      <c r="B665" s="7" t="str">
        <f t="shared" si="146"/>
        <v>102</v>
      </c>
      <c r="C665" s="7" t="s">
        <v>570</v>
      </c>
      <c r="D665" s="7" t="s">
        <v>571</v>
      </c>
      <c r="E665" s="7" t="str">
        <f>"王健"</f>
        <v>王健</v>
      </c>
      <c r="F665" s="7" t="str">
        <f t="shared" si="151"/>
        <v>男</v>
      </c>
      <c r="G665" s="7" t="s">
        <v>649</v>
      </c>
      <c r="H665" s="8"/>
    </row>
    <row r="666" ht="25" customHeight="1" spans="1:8">
      <c r="A666" s="6">
        <v>664</v>
      </c>
      <c r="B666" s="7" t="str">
        <f t="shared" si="146"/>
        <v>102</v>
      </c>
      <c r="C666" s="7" t="s">
        <v>570</v>
      </c>
      <c r="D666" s="7" t="s">
        <v>571</v>
      </c>
      <c r="E666" s="7" t="str">
        <f>"谢灵玉"</f>
        <v>谢灵玉</v>
      </c>
      <c r="F666" s="7" t="str">
        <f t="shared" ref="F666:F668" si="152">"女"</f>
        <v>女</v>
      </c>
      <c r="G666" s="7" t="s">
        <v>650</v>
      </c>
      <c r="H666" s="8"/>
    </row>
    <row r="667" ht="25" customHeight="1" spans="1:8">
      <c r="A667" s="6">
        <v>665</v>
      </c>
      <c r="B667" s="7" t="str">
        <f t="shared" si="146"/>
        <v>102</v>
      </c>
      <c r="C667" s="7" t="s">
        <v>570</v>
      </c>
      <c r="D667" s="7" t="s">
        <v>571</v>
      </c>
      <c r="E667" s="7" t="str">
        <f>"王畅"</f>
        <v>王畅</v>
      </c>
      <c r="F667" s="7" t="str">
        <f t="shared" si="152"/>
        <v>女</v>
      </c>
      <c r="G667" s="7" t="s">
        <v>651</v>
      </c>
      <c r="H667" s="8"/>
    </row>
    <row r="668" ht="25" customHeight="1" spans="1:8">
      <c r="A668" s="6">
        <v>666</v>
      </c>
      <c r="B668" s="7" t="str">
        <f t="shared" si="146"/>
        <v>102</v>
      </c>
      <c r="C668" s="7" t="s">
        <v>570</v>
      </c>
      <c r="D668" s="7" t="s">
        <v>571</v>
      </c>
      <c r="E668" s="7" t="str">
        <f>"吴小润"</f>
        <v>吴小润</v>
      </c>
      <c r="F668" s="7" t="str">
        <f t="shared" si="152"/>
        <v>女</v>
      </c>
      <c r="G668" s="7" t="s">
        <v>652</v>
      </c>
      <c r="H668" s="8"/>
    </row>
    <row r="669" ht="25" customHeight="1" spans="1:8">
      <c r="A669" s="6">
        <v>667</v>
      </c>
      <c r="B669" s="7" t="str">
        <f t="shared" si="146"/>
        <v>102</v>
      </c>
      <c r="C669" s="7" t="s">
        <v>570</v>
      </c>
      <c r="D669" s="7" t="s">
        <v>571</v>
      </c>
      <c r="E669" s="7" t="str">
        <f>"李兴笔"</f>
        <v>李兴笔</v>
      </c>
      <c r="F669" s="7" t="str">
        <f>"男"</f>
        <v>男</v>
      </c>
      <c r="G669" s="7" t="s">
        <v>546</v>
      </c>
      <c r="H669" s="8"/>
    </row>
    <row r="670" ht="25" customHeight="1" spans="1:8">
      <c r="A670" s="6">
        <v>668</v>
      </c>
      <c r="B670" s="7" t="str">
        <f t="shared" si="146"/>
        <v>102</v>
      </c>
      <c r="C670" s="7" t="s">
        <v>570</v>
      </c>
      <c r="D670" s="7" t="s">
        <v>571</v>
      </c>
      <c r="E670" s="7" t="str">
        <f>"张平"</f>
        <v>张平</v>
      </c>
      <c r="F670" s="7" t="str">
        <f>"男"</f>
        <v>男</v>
      </c>
      <c r="G670" s="7" t="s">
        <v>653</v>
      </c>
      <c r="H670" s="8"/>
    </row>
    <row r="671" ht="25" customHeight="1" spans="1:8">
      <c r="A671" s="6">
        <v>669</v>
      </c>
      <c r="B671" s="7" t="str">
        <f t="shared" si="146"/>
        <v>102</v>
      </c>
      <c r="C671" s="7" t="s">
        <v>570</v>
      </c>
      <c r="D671" s="7" t="s">
        <v>571</v>
      </c>
      <c r="E671" s="7" t="str">
        <f>"符英姿"</f>
        <v>符英姿</v>
      </c>
      <c r="F671" s="7" t="str">
        <f t="shared" ref="F671:F678" si="153">"女"</f>
        <v>女</v>
      </c>
      <c r="G671" s="7" t="s">
        <v>654</v>
      </c>
      <c r="H671" s="8"/>
    </row>
    <row r="672" ht="25" customHeight="1" spans="1:8">
      <c r="A672" s="6">
        <v>670</v>
      </c>
      <c r="B672" s="7" t="str">
        <f t="shared" si="146"/>
        <v>102</v>
      </c>
      <c r="C672" s="7" t="s">
        <v>570</v>
      </c>
      <c r="D672" s="7" t="s">
        <v>571</v>
      </c>
      <c r="E672" s="7" t="str">
        <f>"王壹"</f>
        <v>王壹</v>
      </c>
      <c r="F672" s="7" t="str">
        <f t="shared" si="153"/>
        <v>女</v>
      </c>
      <c r="G672" s="7" t="s">
        <v>655</v>
      </c>
      <c r="H672" s="8"/>
    </row>
    <row r="673" ht="25" customHeight="1" spans="1:8">
      <c r="A673" s="6">
        <v>671</v>
      </c>
      <c r="B673" s="7" t="str">
        <f t="shared" si="146"/>
        <v>102</v>
      </c>
      <c r="C673" s="7" t="s">
        <v>570</v>
      </c>
      <c r="D673" s="7" t="s">
        <v>571</v>
      </c>
      <c r="E673" s="7" t="str">
        <f>"陈秋雨"</f>
        <v>陈秋雨</v>
      </c>
      <c r="F673" s="7" t="str">
        <f t="shared" si="153"/>
        <v>女</v>
      </c>
      <c r="G673" s="7" t="s">
        <v>656</v>
      </c>
      <c r="H673" s="8"/>
    </row>
    <row r="674" ht="25" customHeight="1" spans="1:8">
      <c r="A674" s="6">
        <v>672</v>
      </c>
      <c r="B674" s="7" t="str">
        <f t="shared" si="146"/>
        <v>102</v>
      </c>
      <c r="C674" s="7" t="s">
        <v>570</v>
      </c>
      <c r="D674" s="7" t="s">
        <v>571</v>
      </c>
      <c r="E674" s="7" t="str">
        <f>"陈仙敏"</f>
        <v>陈仙敏</v>
      </c>
      <c r="F674" s="7" t="str">
        <f t="shared" si="153"/>
        <v>女</v>
      </c>
      <c r="G674" s="7" t="s">
        <v>657</v>
      </c>
      <c r="H674" s="8"/>
    </row>
    <row r="675" ht="25" customHeight="1" spans="1:8">
      <c r="A675" s="6">
        <v>673</v>
      </c>
      <c r="B675" s="7" t="str">
        <f t="shared" si="146"/>
        <v>102</v>
      </c>
      <c r="C675" s="7" t="s">
        <v>570</v>
      </c>
      <c r="D675" s="7" t="s">
        <v>571</v>
      </c>
      <c r="E675" s="7" t="str">
        <f>"舒淑秋"</f>
        <v>舒淑秋</v>
      </c>
      <c r="F675" s="7" t="str">
        <f t="shared" si="153"/>
        <v>女</v>
      </c>
      <c r="G675" s="7" t="s">
        <v>658</v>
      </c>
      <c r="H675" s="8"/>
    </row>
    <row r="676" ht="25" customHeight="1" spans="1:8">
      <c r="A676" s="6">
        <v>674</v>
      </c>
      <c r="B676" s="7" t="str">
        <f t="shared" si="146"/>
        <v>102</v>
      </c>
      <c r="C676" s="7" t="s">
        <v>570</v>
      </c>
      <c r="D676" s="7" t="s">
        <v>571</v>
      </c>
      <c r="E676" s="7" t="str">
        <f>"叶春婵"</f>
        <v>叶春婵</v>
      </c>
      <c r="F676" s="7" t="str">
        <f t="shared" si="153"/>
        <v>女</v>
      </c>
      <c r="G676" s="7" t="s">
        <v>659</v>
      </c>
      <c r="H676" s="8"/>
    </row>
    <row r="677" ht="25" customHeight="1" spans="1:8">
      <c r="A677" s="6">
        <v>675</v>
      </c>
      <c r="B677" s="7" t="str">
        <f t="shared" si="146"/>
        <v>102</v>
      </c>
      <c r="C677" s="7" t="s">
        <v>570</v>
      </c>
      <c r="D677" s="7" t="s">
        <v>571</v>
      </c>
      <c r="E677" s="7" t="str">
        <f>"卢晶"</f>
        <v>卢晶</v>
      </c>
      <c r="F677" s="7" t="str">
        <f t="shared" si="153"/>
        <v>女</v>
      </c>
      <c r="G677" s="7" t="s">
        <v>660</v>
      </c>
      <c r="H677" s="8"/>
    </row>
    <row r="678" ht="25" customHeight="1" spans="1:8">
      <c r="A678" s="6">
        <v>676</v>
      </c>
      <c r="B678" s="7" t="str">
        <f t="shared" si="146"/>
        <v>102</v>
      </c>
      <c r="C678" s="7" t="s">
        <v>570</v>
      </c>
      <c r="D678" s="7" t="s">
        <v>571</v>
      </c>
      <c r="E678" s="7" t="str">
        <f>"吉云"</f>
        <v>吉云</v>
      </c>
      <c r="F678" s="7" t="str">
        <f t="shared" si="153"/>
        <v>女</v>
      </c>
      <c r="G678" s="7" t="s">
        <v>661</v>
      </c>
      <c r="H678" s="8"/>
    </row>
    <row r="679" ht="25" customHeight="1" spans="1:8">
      <c r="A679" s="6">
        <v>677</v>
      </c>
      <c r="B679" s="7" t="str">
        <f t="shared" si="146"/>
        <v>102</v>
      </c>
      <c r="C679" s="7" t="s">
        <v>570</v>
      </c>
      <c r="D679" s="7" t="s">
        <v>571</v>
      </c>
      <c r="E679" s="7" t="str">
        <f>"梁昌敢"</f>
        <v>梁昌敢</v>
      </c>
      <c r="F679" s="7" t="str">
        <f t="shared" ref="F679:F683" si="154">"男"</f>
        <v>男</v>
      </c>
      <c r="G679" s="7" t="s">
        <v>662</v>
      </c>
      <c r="H679" s="8"/>
    </row>
    <row r="680" ht="25" customHeight="1" spans="1:8">
      <c r="A680" s="6">
        <v>678</v>
      </c>
      <c r="B680" s="7" t="str">
        <f t="shared" ref="B680:B743" si="155">"103"</f>
        <v>103</v>
      </c>
      <c r="C680" s="7" t="s">
        <v>663</v>
      </c>
      <c r="D680" s="7" t="s">
        <v>664</v>
      </c>
      <c r="E680" s="7" t="str">
        <f>"文艺燕"</f>
        <v>文艺燕</v>
      </c>
      <c r="F680" s="7" t="str">
        <f t="shared" ref="F680:F691" si="156">"女"</f>
        <v>女</v>
      </c>
      <c r="G680" s="7" t="s">
        <v>665</v>
      </c>
      <c r="H680" s="8"/>
    </row>
    <row r="681" ht="25" customHeight="1" spans="1:8">
      <c r="A681" s="6">
        <v>679</v>
      </c>
      <c r="B681" s="7" t="str">
        <f t="shared" si="155"/>
        <v>103</v>
      </c>
      <c r="C681" s="7" t="s">
        <v>663</v>
      </c>
      <c r="D681" s="7" t="s">
        <v>664</v>
      </c>
      <c r="E681" s="7" t="str">
        <f>"王爱龙"</f>
        <v>王爱龙</v>
      </c>
      <c r="F681" s="7" t="str">
        <f t="shared" si="154"/>
        <v>男</v>
      </c>
      <c r="G681" s="7" t="s">
        <v>666</v>
      </c>
      <c r="H681" s="8"/>
    </row>
    <row r="682" ht="25" customHeight="1" spans="1:8">
      <c r="A682" s="6">
        <v>680</v>
      </c>
      <c r="B682" s="7" t="str">
        <f t="shared" si="155"/>
        <v>103</v>
      </c>
      <c r="C682" s="7" t="s">
        <v>663</v>
      </c>
      <c r="D682" s="7" t="s">
        <v>664</v>
      </c>
      <c r="E682" s="7" t="str">
        <f>"符飚"</f>
        <v>符飚</v>
      </c>
      <c r="F682" s="7" t="str">
        <f t="shared" si="154"/>
        <v>男</v>
      </c>
      <c r="G682" s="7" t="s">
        <v>667</v>
      </c>
      <c r="H682" s="8"/>
    </row>
    <row r="683" ht="25" customHeight="1" spans="1:8">
      <c r="A683" s="6">
        <v>681</v>
      </c>
      <c r="B683" s="7" t="str">
        <f t="shared" si="155"/>
        <v>103</v>
      </c>
      <c r="C683" s="7" t="s">
        <v>663</v>
      </c>
      <c r="D683" s="7" t="s">
        <v>664</v>
      </c>
      <c r="E683" s="7" t="str">
        <f>"杨洋"</f>
        <v>杨洋</v>
      </c>
      <c r="F683" s="7" t="str">
        <f t="shared" si="154"/>
        <v>男</v>
      </c>
      <c r="G683" s="7" t="s">
        <v>668</v>
      </c>
      <c r="H683" s="8"/>
    </row>
    <row r="684" ht="25" customHeight="1" spans="1:8">
      <c r="A684" s="6">
        <v>682</v>
      </c>
      <c r="B684" s="7" t="str">
        <f t="shared" si="155"/>
        <v>103</v>
      </c>
      <c r="C684" s="7" t="s">
        <v>663</v>
      </c>
      <c r="D684" s="7" t="s">
        <v>664</v>
      </c>
      <c r="E684" s="7" t="str">
        <f>"许馨尹"</f>
        <v>许馨尹</v>
      </c>
      <c r="F684" s="7" t="str">
        <f t="shared" si="156"/>
        <v>女</v>
      </c>
      <c r="G684" s="7" t="s">
        <v>449</v>
      </c>
      <c r="H684" s="8"/>
    </row>
    <row r="685" ht="25" customHeight="1" spans="1:8">
      <c r="A685" s="6">
        <v>683</v>
      </c>
      <c r="B685" s="7" t="str">
        <f t="shared" si="155"/>
        <v>103</v>
      </c>
      <c r="C685" s="7" t="s">
        <v>663</v>
      </c>
      <c r="D685" s="7" t="s">
        <v>664</v>
      </c>
      <c r="E685" s="7" t="str">
        <f>"刘璨"</f>
        <v>刘璨</v>
      </c>
      <c r="F685" s="7" t="str">
        <f t="shared" si="156"/>
        <v>女</v>
      </c>
      <c r="G685" s="7" t="s">
        <v>669</v>
      </c>
      <c r="H685" s="8"/>
    </row>
    <row r="686" ht="25" customHeight="1" spans="1:8">
      <c r="A686" s="6">
        <v>684</v>
      </c>
      <c r="B686" s="7" t="str">
        <f t="shared" si="155"/>
        <v>103</v>
      </c>
      <c r="C686" s="7" t="s">
        <v>663</v>
      </c>
      <c r="D686" s="7" t="s">
        <v>664</v>
      </c>
      <c r="E686" s="7" t="str">
        <f>"苏海碧"</f>
        <v>苏海碧</v>
      </c>
      <c r="F686" s="7" t="str">
        <f t="shared" si="156"/>
        <v>女</v>
      </c>
      <c r="G686" s="7" t="s">
        <v>670</v>
      </c>
      <c r="H686" s="8"/>
    </row>
    <row r="687" ht="25" customHeight="1" spans="1:8">
      <c r="A687" s="6">
        <v>685</v>
      </c>
      <c r="B687" s="7" t="str">
        <f t="shared" si="155"/>
        <v>103</v>
      </c>
      <c r="C687" s="7" t="s">
        <v>663</v>
      </c>
      <c r="D687" s="7" t="s">
        <v>664</v>
      </c>
      <c r="E687" s="7" t="str">
        <f>"罗秀文"</f>
        <v>罗秀文</v>
      </c>
      <c r="F687" s="7" t="str">
        <f t="shared" si="156"/>
        <v>女</v>
      </c>
      <c r="G687" s="7" t="s">
        <v>671</v>
      </c>
      <c r="H687" s="8"/>
    </row>
    <row r="688" ht="25" customHeight="1" spans="1:8">
      <c r="A688" s="6">
        <v>686</v>
      </c>
      <c r="B688" s="7" t="str">
        <f t="shared" si="155"/>
        <v>103</v>
      </c>
      <c r="C688" s="7" t="s">
        <v>663</v>
      </c>
      <c r="D688" s="7" t="s">
        <v>664</v>
      </c>
      <c r="E688" s="7" t="str">
        <f>"张菁"</f>
        <v>张菁</v>
      </c>
      <c r="F688" s="7" t="str">
        <f t="shared" si="156"/>
        <v>女</v>
      </c>
      <c r="G688" s="7" t="s">
        <v>672</v>
      </c>
      <c r="H688" s="8"/>
    </row>
    <row r="689" ht="25" customHeight="1" spans="1:8">
      <c r="A689" s="6">
        <v>687</v>
      </c>
      <c r="B689" s="7" t="str">
        <f t="shared" si="155"/>
        <v>103</v>
      </c>
      <c r="C689" s="7" t="s">
        <v>663</v>
      </c>
      <c r="D689" s="7" t="s">
        <v>664</v>
      </c>
      <c r="E689" s="7" t="str">
        <f>"王小雪"</f>
        <v>王小雪</v>
      </c>
      <c r="F689" s="7" t="str">
        <f t="shared" si="156"/>
        <v>女</v>
      </c>
      <c r="G689" s="7" t="s">
        <v>673</v>
      </c>
      <c r="H689" s="8"/>
    </row>
    <row r="690" ht="25" customHeight="1" spans="1:8">
      <c r="A690" s="6">
        <v>688</v>
      </c>
      <c r="B690" s="7" t="str">
        <f t="shared" si="155"/>
        <v>103</v>
      </c>
      <c r="C690" s="7" t="s">
        <v>663</v>
      </c>
      <c r="D690" s="7" t="s">
        <v>664</v>
      </c>
      <c r="E690" s="7" t="str">
        <f>"韦强"</f>
        <v>韦强</v>
      </c>
      <c r="F690" s="7" t="str">
        <f t="shared" si="156"/>
        <v>女</v>
      </c>
      <c r="G690" s="7" t="s">
        <v>388</v>
      </c>
      <c r="H690" s="8"/>
    </row>
    <row r="691" ht="25" customHeight="1" spans="1:8">
      <c r="A691" s="6">
        <v>689</v>
      </c>
      <c r="B691" s="7" t="str">
        <f t="shared" si="155"/>
        <v>103</v>
      </c>
      <c r="C691" s="7" t="s">
        <v>663</v>
      </c>
      <c r="D691" s="7" t="s">
        <v>664</v>
      </c>
      <c r="E691" s="7" t="str">
        <f>"吉静萱"</f>
        <v>吉静萱</v>
      </c>
      <c r="F691" s="7" t="str">
        <f t="shared" si="156"/>
        <v>女</v>
      </c>
      <c r="G691" s="7" t="s">
        <v>326</v>
      </c>
      <c r="H691" s="8"/>
    </row>
    <row r="692" ht="25" customHeight="1" spans="1:8">
      <c r="A692" s="6">
        <v>690</v>
      </c>
      <c r="B692" s="7" t="str">
        <f t="shared" si="155"/>
        <v>103</v>
      </c>
      <c r="C692" s="7" t="s">
        <v>663</v>
      </c>
      <c r="D692" s="7" t="s">
        <v>664</v>
      </c>
      <c r="E692" s="7" t="str">
        <f>"李万欢"</f>
        <v>李万欢</v>
      </c>
      <c r="F692" s="7" t="str">
        <f t="shared" ref="F692:F698" si="157">"男"</f>
        <v>男</v>
      </c>
      <c r="G692" s="7" t="s">
        <v>674</v>
      </c>
      <c r="H692" s="8"/>
    </row>
    <row r="693" ht="25" customHeight="1" spans="1:8">
      <c r="A693" s="6">
        <v>691</v>
      </c>
      <c r="B693" s="7" t="str">
        <f t="shared" si="155"/>
        <v>103</v>
      </c>
      <c r="C693" s="7" t="s">
        <v>663</v>
      </c>
      <c r="D693" s="7" t="s">
        <v>664</v>
      </c>
      <c r="E693" s="7" t="str">
        <f>"刘书娜"</f>
        <v>刘书娜</v>
      </c>
      <c r="F693" s="7" t="str">
        <f>"女"</f>
        <v>女</v>
      </c>
      <c r="G693" s="7" t="s">
        <v>675</v>
      </c>
      <c r="H693" s="8"/>
    </row>
    <row r="694" ht="25" customHeight="1" spans="1:8">
      <c r="A694" s="6">
        <v>692</v>
      </c>
      <c r="B694" s="7" t="str">
        <f t="shared" si="155"/>
        <v>103</v>
      </c>
      <c r="C694" s="7" t="s">
        <v>663</v>
      </c>
      <c r="D694" s="7" t="s">
        <v>664</v>
      </c>
      <c r="E694" s="7" t="str">
        <f>"杨文定"</f>
        <v>杨文定</v>
      </c>
      <c r="F694" s="7" t="str">
        <f t="shared" si="157"/>
        <v>男</v>
      </c>
      <c r="G694" s="7" t="s">
        <v>676</v>
      </c>
      <c r="H694" s="8"/>
    </row>
    <row r="695" ht="25" customHeight="1" spans="1:8">
      <c r="A695" s="6">
        <v>693</v>
      </c>
      <c r="B695" s="7" t="str">
        <f t="shared" si="155"/>
        <v>103</v>
      </c>
      <c r="C695" s="7" t="s">
        <v>663</v>
      </c>
      <c r="D695" s="7" t="s">
        <v>664</v>
      </c>
      <c r="E695" s="7" t="str">
        <f>"吉雪花"</f>
        <v>吉雪花</v>
      </c>
      <c r="F695" s="7" t="str">
        <f t="shared" ref="F695:F704" si="158">"女"</f>
        <v>女</v>
      </c>
      <c r="G695" s="7" t="s">
        <v>677</v>
      </c>
      <c r="H695" s="8"/>
    </row>
    <row r="696" ht="25" customHeight="1" spans="1:8">
      <c r="A696" s="6">
        <v>694</v>
      </c>
      <c r="B696" s="7" t="str">
        <f t="shared" si="155"/>
        <v>103</v>
      </c>
      <c r="C696" s="7" t="s">
        <v>663</v>
      </c>
      <c r="D696" s="7" t="s">
        <v>664</v>
      </c>
      <c r="E696" s="7" t="str">
        <f>"林瑞颖"</f>
        <v>林瑞颖</v>
      </c>
      <c r="F696" s="7" t="str">
        <f t="shared" si="157"/>
        <v>男</v>
      </c>
      <c r="G696" s="7" t="s">
        <v>678</v>
      </c>
      <c r="H696" s="8"/>
    </row>
    <row r="697" ht="25" customHeight="1" spans="1:8">
      <c r="A697" s="6">
        <v>695</v>
      </c>
      <c r="B697" s="7" t="str">
        <f t="shared" si="155"/>
        <v>103</v>
      </c>
      <c r="C697" s="7" t="s">
        <v>663</v>
      </c>
      <c r="D697" s="7" t="s">
        <v>664</v>
      </c>
      <c r="E697" s="7" t="str">
        <f>"文枭"</f>
        <v>文枭</v>
      </c>
      <c r="F697" s="7" t="str">
        <f t="shared" si="157"/>
        <v>男</v>
      </c>
      <c r="G697" s="7" t="s">
        <v>679</v>
      </c>
      <c r="H697" s="8"/>
    </row>
    <row r="698" ht="25" customHeight="1" spans="1:8">
      <c r="A698" s="6">
        <v>696</v>
      </c>
      <c r="B698" s="7" t="str">
        <f t="shared" si="155"/>
        <v>103</v>
      </c>
      <c r="C698" s="7" t="s">
        <v>663</v>
      </c>
      <c r="D698" s="7" t="s">
        <v>664</v>
      </c>
      <c r="E698" s="7" t="str">
        <f>"陈朝阳"</f>
        <v>陈朝阳</v>
      </c>
      <c r="F698" s="7" t="str">
        <f t="shared" si="157"/>
        <v>男</v>
      </c>
      <c r="G698" s="7" t="s">
        <v>680</v>
      </c>
      <c r="H698" s="8"/>
    </row>
    <row r="699" ht="25" customHeight="1" spans="1:8">
      <c r="A699" s="6">
        <v>697</v>
      </c>
      <c r="B699" s="7" t="str">
        <f t="shared" si="155"/>
        <v>103</v>
      </c>
      <c r="C699" s="7" t="s">
        <v>663</v>
      </c>
      <c r="D699" s="7" t="s">
        <v>664</v>
      </c>
      <c r="E699" s="7" t="str">
        <f>"沈家煌"</f>
        <v>沈家煌</v>
      </c>
      <c r="F699" s="7" t="str">
        <f t="shared" si="158"/>
        <v>女</v>
      </c>
      <c r="G699" s="7" t="s">
        <v>681</v>
      </c>
      <c r="H699" s="8"/>
    </row>
    <row r="700" ht="25" customHeight="1" spans="1:8">
      <c r="A700" s="6">
        <v>698</v>
      </c>
      <c r="B700" s="7" t="str">
        <f t="shared" si="155"/>
        <v>103</v>
      </c>
      <c r="C700" s="7" t="s">
        <v>663</v>
      </c>
      <c r="D700" s="7" t="s">
        <v>664</v>
      </c>
      <c r="E700" s="7" t="str">
        <f>"陈姑美"</f>
        <v>陈姑美</v>
      </c>
      <c r="F700" s="7" t="str">
        <f t="shared" si="158"/>
        <v>女</v>
      </c>
      <c r="G700" s="7" t="s">
        <v>682</v>
      </c>
      <c r="H700" s="8"/>
    </row>
    <row r="701" ht="25" customHeight="1" spans="1:8">
      <c r="A701" s="6">
        <v>699</v>
      </c>
      <c r="B701" s="7" t="str">
        <f t="shared" si="155"/>
        <v>103</v>
      </c>
      <c r="C701" s="7" t="s">
        <v>663</v>
      </c>
      <c r="D701" s="7" t="s">
        <v>664</v>
      </c>
      <c r="E701" s="7" t="str">
        <f>"陈薇"</f>
        <v>陈薇</v>
      </c>
      <c r="F701" s="7" t="str">
        <f t="shared" si="158"/>
        <v>女</v>
      </c>
      <c r="G701" s="7" t="s">
        <v>683</v>
      </c>
      <c r="H701" s="8"/>
    </row>
    <row r="702" ht="25" customHeight="1" spans="1:8">
      <c r="A702" s="6">
        <v>700</v>
      </c>
      <c r="B702" s="7" t="str">
        <f t="shared" si="155"/>
        <v>103</v>
      </c>
      <c r="C702" s="7" t="s">
        <v>663</v>
      </c>
      <c r="D702" s="7" t="s">
        <v>664</v>
      </c>
      <c r="E702" s="7" t="str">
        <f>"陈佳颖"</f>
        <v>陈佳颖</v>
      </c>
      <c r="F702" s="7" t="str">
        <f t="shared" si="158"/>
        <v>女</v>
      </c>
      <c r="G702" s="7" t="s">
        <v>606</v>
      </c>
      <c r="H702" s="8"/>
    </row>
    <row r="703" ht="25" customHeight="1" spans="1:8">
      <c r="A703" s="6">
        <v>701</v>
      </c>
      <c r="B703" s="7" t="str">
        <f t="shared" si="155"/>
        <v>103</v>
      </c>
      <c r="C703" s="7" t="s">
        <v>663</v>
      </c>
      <c r="D703" s="7" t="s">
        <v>664</v>
      </c>
      <c r="E703" s="7" t="str">
        <f>"冯昌丽"</f>
        <v>冯昌丽</v>
      </c>
      <c r="F703" s="7" t="str">
        <f t="shared" si="158"/>
        <v>女</v>
      </c>
      <c r="G703" s="7" t="s">
        <v>310</v>
      </c>
      <c r="H703" s="8"/>
    </row>
    <row r="704" ht="25" customHeight="1" spans="1:8">
      <c r="A704" s="6">
        <v>702</v>
      </c>
      <c r="B704" s="7" t="str">
        <f t="shared" si="155"/>
        <v>103</v>
      </c>
      <c r="C704" s="7" t="s">
        <v>663</v>
      </c>
      <c r="D704" s="7" t="s">
        <v>664</v>
      </c>
      <c r="E704" s="7" t="str">
        <f>"王添悦"</f>
        <v>王添悦</v>
      </c>
      <c r="F704" s="7" t="str">
        <f t="shared" si="158"/>
        <v>女</v>
      </c>
      <c r="G704" s="7" t="s">
        <v>684</v>
      </c>
      <c r="H704" s="8"/>
    </row>
    <row r="705" ht="25" customHeight="1" spans="1:8">
      <c r="A705" s="6">
        <v>703</v>
      </c>
      <c r="B705" s="7" t="str">
        <f t="shared" si="155"/>
        <v>103</v>
      </c>
      <c r="C705" s="7" t="s">
        <v>663</v>
      </c>
      <c r="D705" s="7" t="s">
        <v>664</v>
      </c>
      <c r="E705" s="7" t="str">
        <f>"樊思成"</f>
        <v>樊思成</v>
      </c>
      <c r="F705" s="7" t="str">
        <f t="shared" ref="F705:F712" si="159">"男"</f>
        <v>男</v>
      </c>
      <c r="G705" s="7" t="s">
        <v>685</v>
      </c>
      <c r="H705" s="8"/>
    </row>
    <row r="706" ht="25" customHeight="1" spans="1:8">
      <c r="A706" s="6">
        <v>704</v>
      </c>
      <c r="B706" s="7" t="str">
        <f t="shared" si="155"/>
        <v>103</v>
      </c>
      <c r="C706" s="7" t="s">
        <v>663</v>
      </c>
      <c r="D706" s="7" t="s">
        <v>664</v>
      </c>
      <c r="E706" s="7" t="str">
        <f>"符晶晶"</f>
        <v>符晶晶</v>
      </c>
      <c r="F706" s="7" t="str">
        <f t="shared" ref="F706:F708" si="160">"女"</f>
        <v>女</v>
      </c>
      <c r="G706" s="7" t="s">
        <v>686</v>
      </c>
      <c r="H706" s="8"/>
    </row>
    <row r="707" ht="25" customHeight="1" spans="1:8">
      <c r="A707" s="6">
        <v>705</v>
      </c>
      <c r="B707" s="7" t="str">
        <f t="shared" si="155"/>
        <v>103</v>
      </c>
      <c r="C707" s="7" t="s">
        <v>663</v>
      </c>
      <c r="D707" s="7" t="s">
        <v>664</v>
      </c>
      <c r="E707" s="7" t="str">
        <f>"王菁菁"</f>
        <v>王菁菁</v>
      </c>
      <c r="F707" s="7" t="str">
        <f t="shared" si="160"/>
        <v>女</v>
      </c>
      <c r="G707" s="7" t="s">
        <v>687</v>
      </c>
      <c r="H707" s="8"/>
    </row>
    <row r="708" ht="25" customHeight="1" spans="1:8">
      <c r="A708" s="6">
        <v>706</v>
      </c>
      <c r="B708" s="7" t="str">
        <f t="shared" si="155"/>
        <v>103</v>
      </c>
      <c r="C708" s="7" t="s">
        <v>663</v>
      </c>
      <c r="D708" s="7" t="s">
        <v>664</v>
      </c>
      <c r="E708" s="7" t="str">
        <f>"刘惠灵"</f>
        <v>刘惠灵</v>
      </c>
      <c r="F708" s="7" t="str">
        <f t="shared" si="160"/>
        <v>女</v>
      </c>
      <c r="G708" s="7" t="s">
        <v>376</v>
      </c>
      <c r="H708" s="8"/>
    </row>
    <row r="709" ht="25" customHeight="1" spans="1:8">
      <c r="A709" s="6">
        <v>707</v>
      </c>
      <c r="B709" s="7" t="str">
        <f t="shared" si="155"/>
        <v>103</v>
      </c>
      <c r="C709" s="7" t="s">
        <v>663</v>
      </c>
      <c r="D709" s="7" t="s">
        <v>664</v>
      </c>
      <c r="E709" s="7" t="str">
        <f>"聂吉林"</f>
        <v>聂吉林</v>
      </c>
      <c r="F709" s="7" t="str">
        <f t="shared" si="159"/>
        <v>男</v>
      </c>
      <c r="G709" s="7" t="s">
        <v>688</v>
      </c>
      <c r="H709" s="8"/>
    </row>
    <row r="710" ht="25" customHeight="1" spans="1:8">
      <c r="A710" s="6">
        <v>708</v>
      </c>
      <c r="B710" s="7" t="str">
        <f t="shared" si="155"/>
        <v>103</v>
      </c>
      <c r="C710" s="7" t="s">
        <v>663</v>
      </c>
      <c r="D710" s="7" t="s">
        <v>664</v>
      </c>
      <c r="E710" s="7" t="str">
        <f>"吴际旭"</f>
        <v>吴际旭</v>
      </c>
      <c r="F710" s="7" t="str">
        <f t="shared" si="159"/>
        <v>男</v>
      </c>
      <c r="G710" s="7" t="s">
        <v>689</v>
      </c>
      <c r="H710" s="8"/>
    </row>
    <row r="711" ht="25" customHeight="1" spans="1:8">
      <c r="A711" s="6">
        <v>709</v>
      </c>
      <c r="B711" s="7" t="str">
        <f t="shared" si="155"/>
        <v>103</v>
      </c>
      <c r="C711" s="7" t="s">
        <v>663</v>
      </c>
      <c r="D711" s="7" t="s">
        <v>664</v>
      </c>
      <c r="E711" s="7" t="str">
        <f>"符永帅"</f>
        <v>符永帅</v>
      </c>
      <c r="F711" s="7" t="str">
        <f t="shared" si="159"/>
        <v>男</v>
      </c>
      <c r="G711" s="7" t="s">
        <v>690</v>
      </c>
      <c r="H711" s="8"/>
    </row>
    <row r="712" ht="25" customHeight="1" spans="1:8">
      <c r="A712" s="6">
        <v>710</v>
      </c>
      <c r="B712" s="7" t="str">
        <f t="shared" si="155"/>
        <v>103</v>
      </c>
      <c r="C712" s="7" t="s">
        <v>663</v>
      </c>
      <c r="D712" s="7" t="s">
        <v>664</v>
      </c>
      <c r="E712" s="7" t="str">
        <f>"陈太鹏"</f>
        <v>陈太鹏</v>
      </c>
      <c r="F712" s="7" t="str">
        <f t="shared" si="159"/>
        <v>男</v>
      </c>
      <c r="G712" s="7" t="s">
        <v>691</v>
      </c>
      <c r="H712" s="8"/>
    </row>
    <row r="713" ht="25" customHeight="1" spans="1:8">
      <c r="A713" s="6">
        <v>711</v>
      </c>
      <c r="B713" s="7" t="str">
        <f t="shared" si="155"/>
        <v>103</v>
      </c>
      <c r="C713" s="7" t="s">
        <v>663</v>
      </c>
      <c r="D713" s="7" t="s">
        <v>664</v>
      </c>
      <c r="E713" s="7" t="str">
        <f>"李秀玉"</f>
        <v>李秀玉</v>
      </c>
      <c r="F713" s="7" t="str">
        <f>"女"</f>
        <v>女</v>
      </c>
      <c r="G713" s="7" t="s">
        <v>692</v>
      </c>
      <c r="H713" s="8"/>
    </row>
    <row r="714" ht="25" customHeight="1" spans="1:8">
      <c r="A714" s="6">
        <v>712</v>
      </c>
      <c r="B714" s="7" t="str">
        <f t="shared" si="155"/>
        <v>103</v>
      </c>
      <c r="C714" s="7" t="s">
        <v>663</v>
      </c>
      <c r="D714" s="7" t="s">
        <v>664</v>
      </c>
      <c r="E714" s="7" t="str">
        <f>"王亦官"</f>
        <v>王亦官</v>
      </c>
      <c r="F714" s="7" t="str">
        <f t="shared" ref="F714:F717" si="161">"男"</f>
        <v>男</v>
      </c>
      <c r="G714" s="7" t="s">
        <v>693</v>
      </c>
      <c r="H714" s="8"/>
    </row>
    <row r="715" ht="25" customHeight="1" spans="1:8">
      <c r="A715" s="6">
        <v>713</v>
      </c>
      <c r="B715" s="7" t="str">
        <f t="shared" si="155"/>
        <v>103</v>
      </c>
      <c r="C715" s="7" t="s">
        <v>663</v>
      </c>
      <c r="D715" s="7" t="s">
        <v>664</v>
      </c>
      <c r="E715" s="7" t="str">
        <f>"周运鹏"</f>
        <v>周运鹏</v>
      </c>
      <c r="F715" s="7" t="str">
        <f t="shared" si="161"/>
        <v>男</v>
      </c>
      <c r="G715" s="7" t="s">
        <v>694</v>
      </c>
      <c r="H715" s="8"/>
    </row>
    <row r="716" ht="25" customHeight="1" spans="1:8">
      <c r="A716" s="6">
        <v>714</v>
      </c>
      <c r="B716" s="7" t="str">
        <f t="shared" si="155"/>
        <v>103</v>
      </c>
      <c r="C716" s="7" t="s">
        <v>663</v>
      </c>
      <c r="D716" s="7" t="s">
        <v>664</v>
      </c>
      <c r="E716" s="7" t="str">
        <f>"符永柏"</f>
        <v>符永柏</v>
      </c>
      <c r="F716" s="7" t="str">
        <f t="shared" si="161"/>
        <v>男</v>
      </c>
      <c r="G716" s="7" t="s">
        <v>695</v>
      </c>
      <c r="H716" s="8"/>
    </row>
    <row r="717" ht="25" customHeight="1" spans="1:8">
      <c r="A717" s="6">
        <v>715</v>
      </c>
      <c r="B717" s="7" t="str">
        <f t="shared" si="155"/>
        <v>103</v>
      </c>
      <c r="C717" s="7" t="s">
        <v>663</v>
      </c>
      <c r="D717" s="7" t="s">
        <v>664</v>
      </c>
      <c r="E717" s="7" t="str">
        <f>"蒲光德"</f>
        <v>蒲光德</v>
      </c>
      <c r="F717" s="7" t="str">
        <f t="shared" si="161"/>
        <v>男</v>
      </c>
      <c r="G717" s="7" t="s">
        <v>696</v>
      </c>
      <c r="H717" s="8"/>
    </row>
    <row r="718" ht="25" customHeight="1" spans="1:8">
      <c r="A718" s="6">
        <v>716</v>
      </c>
      <c r="B718" s="7" t="str">
        <f t="shared" si="155"/>
        <v>103</v>
      </c>
      <c r="C718" s="7" t="s">
        <v>663</v>
      </c>
      <c r="D718" s="7" t="s">
        <v>664</v>
      </c>
      <c r="E718" s="7" t="str">
        <f>"林德鸾"</f>
        <v>林德鸾</v>
      </c>
      <c r="F718" s="7" t="str">
        <f t="shared" ref="F718:F722" si="162">"女"</f>
        <v>女</v>
      </c>
      <c r="G718" s="7" t="s">
        <v>697</v>
      </c>
      <c r="H718" s="8"/>
    </row>
    <row r="719" ht="25" customHeight="1" spans="1:8">
      <c r="A719" s="6">
        <v>717</v>
      </c>
      <c r="B719" s="7" t="str">
        <f t="shared" si="155"/>
        <v>103</v>
      </c>
      <c r="C719" s="7" t="s">
        <v>663</v>
      </c>
      <c r="D719" s="7" t="s">
        <v>664</v>
      </c>
      <c r="E719" s="7" t="str">
        <f>"李云竹"</f>
        <v>李云竹</v>
      </c>
      <c r="F719" s="7" t="str">
        <f t="shared" si="162"/>
        <v>女</v>
      </c>
      <c r="G719" s="7" t="s">
        <v>698</v>
      </c>
      <c r="H719" s="8"/>
    </row>
    <row r="720" ht="25" customHeight="1" spans="1:8">
      <c r="A720" s="6">
        <v>718</v>
      </c>
      <c r="B720" s="7" t="str">
        <f t="shared" si="155"/>
        <v>103</v>
      </c>
      <c r="C720" s="7" t="s">
        <v>663</v>
      </c>
      <c r="D720" s="7" t="s">
        <v>664</v>
      </c>
      <c r="E720" s="7" t="str">
        <f>"林玉淑"</f>
        <v>林玉淑</v>
      </c>
      <c r="F720" s="7" t="str">
        <f t="shared" si="162"/>
        <v>女</v>
      </c>
      <c r="G720" s="7" t="s">
        <v>699</v>
      </c>
      <c r="H720" s="8"/>
    </row>
    <row r="721" ht="25" customHeight="1" spans="1:8">
      <c r="A721" s="6">
        <v>719</v>
      </c>
      <c r="B721" s="7" t="str">
        <f t="shared" si="155"/>
        <v>103</v>
      </c>
      <c r="C721" s="7" t="s">
        <v>663</v>
      </c>
      <c r="D721" s="7" t="s">
        <v>664</v>
      </c>
      <c r="E721" s="7" t="str">
        <f>"陈维彩"</f>
        <v>陈维彩</v>
      </c>
      <c r="F721" s="7" t="str">
        <f t="shared" si="162"/>
        <v>女</v>
      </c>
      <c r="G721" s="7" t="s">
        <v>700</v>
      </c>
      <c r="H721" s="8"/>
    </row>
    <row r="722" ht="25" customHeight="1" spans="1:8">
      <c r="A722" s="6">
        <v>720</v>
      </c>
      <c r="B722" s="7" t="str">
        <f t="shared" si="155"/>
        <v>103</v>
      </c>
      <c r="C722" s="7" t="s">
        <v>663</v>
      </c>
      <c r="D722" s="7" t="s">
        <v>664</v>
      </c>
      <c r="E722" s="7" t="str">
        <f>"许娇清"</f>
        <v>许娇清</v>
      </c>
      <c r="F722" s="7" t="str">
        <f t="shared" si="162"/>
        <v>女</v>
      </c>
      <c r="G722" s="7" t="s">
        <v>701</v>
      </c>
      <c r="H722" s="8"/>
    </row>
    <row r="723" ht="25" customHeight="1" spans="1:8">
      <c r="A723" s="6">
        <v>721</v>
      </c>
      <c r="B723" s="7" t="str">
        <f t="shared" si="155"/>
        <v>103</v>
      </c>
      <c r="C723" s="7" t="s">
        <v>663</v>
      </c>
      <c r="D723" s="7" t="s">
        <v>664</v>
      </c>
      <c r="E723" s="7" t="str">
        <f>"周子霖"</f>
        <v>周子霖</v>
      </c>
      <c r="F723" s="7" t="str">
        <f t="shared" ref="F723:F728" si="163">"男"</f>
        <v>男</v>
      </c>
      <c r="G723" s="7" t="s">
        <v>702</v>
      </c>
      <c r="H723" s="8"/>
    </row>
    <row r="724" ht="25" customHeight="1" spans="1:8">
      <c r="A724" s="6">
        <v>722</v>
      </c>
      <c r="B724" s="7" t="str">
        <f t="shared" si="155"/>
        <v>103</v>
      </c>
      <c r="C724" s="7" t="s">
        <v>663</v>
      </c>
      <c r="D724" s="7" t="s">
        <v>664</v>
      </c>
      <c r="E724" s="7" t="str">
        <f>"洪德轩"</f>
        <v>洪德轩</v>
      </c>
      <c r="F724" s="7" t="str">
        <f t="shared" si="163"/>
        <v>男</v>
      </c>
      <c r="G724" s="7" t="s">
        <v>703</v>
      </c>
      <c r="H724" s="8"/>
    </row>
    <row r="725" ht="25" customHeight="1" spans="1:8">
      <c r="A725" s="6">
        <v>723</v>
      </c>
      <c r="B725" s="7" t="str">
        <f t="shared" si="155"/>
        <v>103</v>
      </c>
      <c r="C725" s="7" t="s">
        <v>663</v>
      </c>
      <c r="D725" s="7" t="s">
        <v>664</v>
      </c>
      <c r="E725" s="7" t="str">
        <f>"李友豪"</f>
        <v>李友豪</v>
      </c>
      <c r="F725" s="7" t="str">
        <f t="shared" si="163"/>
        <v>男</v>
      </c>
      <c r="G725" s="7" t="s">
        <v>704</v>
      </c>
      <c r="H725" s="8"/>
    </row>
    <row r="726" ht="25" customHeight="1" spans="1:8">
      <c r="A726" s="6">
        <v>724</v>
      </c>
      <c r="B726" s="7" t="str">
        <f t="shared" si="155"/>
        <v>103</v>
      </c>
      <c r="C726" s="7" t="s">
        <v>663</v>
      </c>
      <c r="D726" s="7" t="s">
        <v>664</v>
      </c>
      <c r="E726" s="7" t="str">
        <f>"甘哲源"</f>
        <v>甘哲源</v>
      </c>
      <c r="F726" s="7" t="str">
        <f t="shared" si="163"/>
        <v>男</v>
      </c>
      <c r="G726" s="7" t="s">
        <v>705</v>
      </c>
      <c r="H726" s="8"/>
    </row>
    <row r="727" ht="25" customHeight="1" spans="1:8">
      <c r="A727" s="6">
        <v>725</v>
      </c>
      <c r="B727" s="7" t="str">
        <f t="shared" si="155"/>
        <v>103</v>
      </c>
      <c r="C727" s="7" t="s">
        <v>663</v>
      </c>
      <c r="D727" s="7" t="s">
        <v>664</v>
      </c>
      <c r="E727" s="7" t="str">
        <f>"温盛亮"</f>
        <v>温盛亮</v>
      </c>
      <c r="F727" s="7" t="str">
        <f t="shared" si="163"/>
        <v>男</v>
      </c>
      <c r="G727" s="7" t="s">
        <v>706</v>
      </c>
      <c r="H727" s="8"/>
    </row>
    <row r="728" ht="25" customHeight="1" spans="1:8">
      <c r="A728" s="6">
        <v>726</v>
      </c>
      <c r="B728" s="7" t="str">
        <f t="shared" si="155"/>
        <v>103</v>
      </c>
      <c r="C728" s="7" t="s">
        <v>663</v>
      </c>
      <c r="D728" s="7" t="s">
        <v>664</v>
      </c>
      <c r="E728" s="7" t="str">
        <f>"黎秀云"</f>
        <v>黎秀云</v>
      </c>
      <c r="F728" s="7" t="str">
        <f t="shared" si="163"/>
        <v>男</v>
      </c>
      <c r="G728" s="7" t="s">
        <v>185</v>
      </c>
      <c r="H728" s="8"/>
    </row>
    <row r="729" ht="25" customHeight="1" spans="1:8">
      <c r="A729" s="6">
        <v>727</v>
      </c>
      <c r="B729" s="7" t="str">
        <f t="shared" si="155"/>
        <v>103</v>
      </c>
      <c r="C729" s="7" t="s">
        <v>663</v>
      </c>
      <c r="D729" s="7" t="s">
        <v>664</v>
      </c>
      <c r="E729" s="7" t="str">
        <f>"许丽秋"</f>
        <v>许丽秋</v>
      </c>
      <c r="F729" s="7" t="str">
        <f t="shared" ref="F729:F733" si="164">"女"</f>
        <v>女</v>
      </c>
      <c r="G729" s="7" t="s">
        <v>707</v>
      </c>
      <c r="H729" s="8"/>
    </row>
    <row r="730" ht="25" customHeight="1" spans="1:8">
      <c r="A730" s="6">
        <v>728</v>
      </c>
      <c r="B730" s="7" t="str">
        <f t="shared" si="155"/>
        <v>103</v>
      </c>
      <c r="C730" s="7" t="s">
        <v>663</v>
      </c>
      <c r="D730" s="7" t="s">
        <v>664</v>
      </c>
      <c r="E730" s="7" t="str">
        <f>"王翠景"</f>
        <v>王翠景</v>
      </c>
      <c r="F730" s="7" t="str">
        <f t="shared" si="164"/>
        <v>女</v>
      </c>
      <c r="G730" s="7" t="s">
        <v>708</v>
      </c>
      <c r="H730" s="8"/>
    </row>
    <row r="731" ht="25" customHeight="1" spans="1:8">
      <c r="A731" s="6">
        <v>729</v>
      </c>
      <c r="B731" s="7" t="str">
        <f t="shared" si="155"/>
        <v>103</v>
      </c>
      <c r="C731" s="7" t="s">
        <v>663</v>
      </c>
      <c r="D731" s="7" t="s">
        <v>664</v>
      </c>
      <c r="E731" s="7" t="str">
        <f>"叶秀江"</f>
        <v>叶秀江</v>
      </c>
      <c r="F731" s="7" t="str">
        <f>"男"</f>
        <v>男</v>
      </c>
      <c r="G731" s="7" t="s">
        <v>598</v>
      </c>
      <c r="H731" s="8"/>
    </row>
    <row r="732" ht="25" customHeight="1" spans="1:8">
      <c r="A732" s="6">
        <v>730</v>
      </c>
      <c r="B732" s="7" t="str">
        <f t="shared" si="155"/>
        <v>103</v>
      </c>
      <c r="C732" s="7" t="s">
        <v>663</v>
      </c>
      <c r="D732" s="7" t="s">
        <v>664</v>
      </c>
      <c r="E732" s="7" t="str">
        <f>"林琛"</f>
        <v>林琛</v>
      </c>
      <c r="F732" s="7" t="str">
        <f t="shared" si="164"/>
        <v>女</v>
      </c>
      <c r="G732" s="7" t="s">
        <v>709</v>
      </c>
      <c r="H732" s="8"/>
    </row>
    <row r="733" ht="25" customHeight="1" spans="1:8">
      <c r="A733" s="6">
        <v>731</v>
      </c>
      <c r="B733" s="7" t="str">
        <f t="shared" si="155"/>
        <v>103</v>
      </c>
      <c r="C733" s="7" t="s">
        <v>663</v>
      </c>
      <c r="D733" s="7" t="s">
        <v>664</v>
      </c>
      <c r="E733" s="7" t="str">
        <f>"陈婷"</f>
        <v>陈婷</v>
      </c>
      <c r="F733" s="7" t="str">
        <f t="shared" si="164"/>
        <v>女</v>
      </c>
      <c r="G733" s="7" t="s">
        <v>710</v>
      </c>
      <c r="H733" s="8"/>
    </row>
    <row r="734" ht="25" customHeight="1" spans="1:8">
      <c r="A734" s="6">
        <v>732</v>
      </c>
      <c r="B734" s="7" t="str">
        <f t="shared" si="155"/>
        <v>103</v>
      </c>
      <c r="C734" s="7" t="s">
        <v>663</v>
      </c>
      <c r="D734" s="7" t="s">
        <v>664</v>
      </c>
      <c r="E734" s="7" t="str">
        <f>"文周彬"</f>
        <v>文周彬</v>
      </c>
      <c r="F734" s="7" t="str">
        <f t="shared" ref="F734:F741" si="165">"男"</f>
        <v>男</v>
      </c>
      <c r="G734" s="7" t="s">
        <v>711</v>
      </c>
      <c r="H734" s="8"/>
    </row>
    <row r="735" ht="25" customHeight="1" spans="1:8">
      <c r="A735" s="6">
        <v>733</v>
      </c>
      <c r="B735" s="7" t="str">
        <f t="shared" si="155"/>
        <v>103</v>
      </c>
      <c r="C735" s="7" t="s">
        <v>663</v>
      </c>
      <c r="D735" s="7" t="s">
        <v>664</v>
      </c>
      <c r="E735" s="7" t="str">
        <f>"兰蕾"</f>
        <v>兰蕾</v>
      </c>
      <c r="F735" s="7" t="str">
        <f>"女"</f>
        <v>女</v>
      </c>
      <c r="G735" s="7" t="s">
        <v>712</v>
      </c>
      <c r="H735" s="8"/>
    </row>
    <row r="736" ht="25" customHeight="1" spans="1:8">
      <c r="A736" s="6">
        <v>734</v>
      </c>
      <c r="B736" s="7" t="str">
        <f t="shared" si="155"/>
        <v>103</v>
      </c>
      <c r="C736" s="7" t="s">
        <v>663</v>
      </c>
      <c r="D736" s="7" t="s">
        <v>664</v>
      </c>
      <c r="E736" s="7" t="str">
        <f>"邢虹艳"</f>
        <v>邢虹艳</v>
      </c>
      <c r="F736" s="7" t="str">
        <f>"女"</f>
        <v>女</v>
      </c>
      <c r="G736" s="7" t="s">
        <v>431</v>
      </c>
      <c r="H736" s="8"/>
    </row>
    <row r="737" ht="25" customHeight="1" spans="1:8">
      <c r="A737" s="6">
        <v>735</v>
      </c>
      <c r="B737" s="7" t="str">
        <f t="shared" si="155"/>
        <v>103</v>
      </c>
      <c r="C737" s="7" t="s">
        <v>663</v>
      </c>
      <c r="D737" s="7" t="s">
        <v>664</v>
      </c>
      <c r="E737" s="7" t="str">
        <f>"吴志鹏"</f>
        <v>吴志鹏</v>
      </c>
      <c r="F737" s="7" t="str">
        <f t="shared" si="165"/>
        <v>男</v>
      </c>
      <c r="G737" s="7" t="s">
        <v>713</v>
      </c>
      <c r="H737" s="8"/>
    </row>
    <row r="738" ht="25" customHeight="1" spans="1:8">
      <c r="A738" s="6">
        <v>736</v>
      </c>
      <c r="B738" s="7" t="str">
        <f t="shared" si="155"/>
        <v>103</v>
      </c>
      <c r="C738" s="7" t="s">
        <v>663</v>
      </c>
      <c r="D738" s="7" t="s">
        <v>664</v>
      </c>
      <c r="E738" s="7" t="str">
        <f>"许国怀"</f>
        <v>许国怀</v>
      </c>
      <c r="F738" s="7" t="str">
        <f t="shared" si="165"/>
        <v>男</v>
      </c>
      <c r="G738" s="7" t="s">
        <v>714</v>
      </c>
      <c r="H738" s="8"/>
    </row>
    <row r="739" ht="25" customHeight="1" spans="1:8">
      <c r="A739" s="6">
        <v>737</v>
      </c>
      <c r="B739" s="7" t="str">
        <f t="shared" si="155"/>
        <v>103</v>
      </c>
      <c r="C739" s="7" t="s">
        <v>663</v>
      </c>
      <c r="D739" s="7" t="s">
        <v>664</v>
      </c>
      <c r="E739" s="7" t="str">
        <f>"何兵"</f>
        <v>何兵</v>
      </c>
      <c r="F739" s="7" t="str">
        <f t="shared" si="165"/>
        <v>男</v>
      </c>
      <c r="G739" s="7" t="s">
        <v>704</v>
      </c>
      <c r="H739" s="8"/>
    </row>
    <row r="740" ht="25" customHeight="1" spans="1:8">
      <c r="A740" s="6">
        <v>738</v>
      </c>
      <c r="B740" s="7" t="str">
        <f t="shared" si="155"/>
        <v>103</v>
      </c>
      <c r="C740" s="7" t="s">
        <v>663</v>
      </c>
      <c r="D740" s="7" t="s">
        <v>664</v>
      </c>
      <c r="E740" s="7" t="str">
        <f>"邢维琪"</f>
        <v>邢维琪</v>
      </c>
      <c r="F740" s="7" t="str">
        <f t="shared" si="165"/>
        <v>男</v>
      </c>
      <c r="G740" s="7" t="s">
        <v>715</v>
      </c>
      <c r="H740" s="8"/>
    </row>
    <row r="741" ht="25" customHeight="1" spans="1:8">
      <c r="A741" s="6">
        <v>739</v>
      </c>
      <c r="B741" s="7" t="str">
        <f t="shared" si="155"/>
        <v>103</v>
      </c>
      <c r="C741" s="7" t="s">
        <v>663</v>
      </c>
      <c r="D741" s="7" t="s">
        <v>664</v>
      </c>
      <c r="E741" s="7" t="str">
        <f>"王子奥"</f>
        <v>王子奥</v>
      </c>
      <c r="F741" s="7" t="str">
        <f t="shared" si="165"/>
        <v>男</v>
      </c>
      <c r="G741" s="7" t="s">
        <v>716</v>
      </c>
      <c r="H741" s="8"/>
    </row>
    <row r="742" ht="25" customHeight="1" spans="1:8">
      <c r="A742" s="6">
        <v>740</v>
      </c>
      <c r="B742" s="7" t="str">
        <f t="shared" si="155"/>
        <v>103</v>
      </c>
      <c r="C742" s="7" t="s">
        <v>663</v>
      </c>
      <c r="D742" s="7" t="s">
        <v>664</v>
      </c>
      <c r="E742" s="7" t="str">
        <f>"陈柚利"</f>
        <v>陈柚利</v>
      </c>
      <c r="F742" s="7" t="str">
        <f>"女"</f>
        <v>女</v>
      </c>
      <c r="G742" s="7" t="s">
        <v>717</v>
      </c>
      <c r="H742" s="8"/>
    </row>
    <row r="743" ht="25" customHeight="1" spans="1:8">
      <c r="A743" s="6">
        <v>741</v>
      </c>
      <c r="B743" s="7" t="str">
        <f t="shared" si="155"/>
        <v>103</v>
      </c>
      <c r="C743" s="7" t="s">
        <v>663</v>
      </c>
      <c r="D743" s="7" t="s">
        <v>664</v>
      </c>
      <c r="E743" s="7" t="str">
        <f>"吴挺宁"</f>
        <v>吴挺宁</v>
      </c>
      <c r="F743" s="7" t="str">
        <f t="shared" ref="F743:F747" si="166">"男"</f>
        <v>男</v>
      </c>
      <c r="G743" s="7" t="s">
        <v>718</v>
      </c>
      <c r="H743" s="8"/>
    </row>
    <row r="744" ht="25" customHeight="1" spans="1:8">
      <c r="A744" s="6">
        <v>742</v>
      </c>
      <c r="B744" s="7" t="str">
        <f t="shared" ref="B744:B807" si="167">"103"</f>
        <v>103</v>
      </c>
      <c r="C744" s="7" t="s">
        <v>663</v>
      </c>
      <c r="D744" s="7" t="s">
        <v>664</v>
      </c>
      <c r="E744" s="7" t="str">
        <f>"郭冰洁"</f>
        <v>郭冰洁</v>
      </c>
      <c r="F744" s="7" t="str">
        <f>"女"</f>
        <v>女</v>
      </c>
      <c r="G744" s="7" t="s">
        <v>719</v>
      </c>
      <c r="H744" s="8"/>
    </row>
    <row r="745" ht="25" customHeight="1" spans="1:8">
      <c r="A745" s="6">
        <v>743</v>
      </c>
      <c r="B745" s="7" t="str">
        <f t="shared" si="167"/>
        <v>103</v>
      </c>
      <c r="C745" s="7" t="s">
        <v>663</v>
      </c>
      <c r="D745" s="7" t="s">
        <v>664</v>
      </c>
      <c r="E745" s="7" t="str">
        <f>"袁志宵"</f>
        <v>袁志宵</v>
      </c>
      <c r="F745" s="7" t="str">
        <f t="shared" si="166"/>
        <v>男</v>
      </c>
      <c r="G745" s="7" t="s">
        <v>380</v>
      </c>
      <c r="H745" s="8"/>
    </row>
    <row r="746" ht="25" customHeight="1" spans="1:8">
      <c r="A746" s="6">
        <v>744</v>
      </c>
      <c r="B746" s="7" t="str">
        <f t="shared" si="167"/>
        <v>103</v>
      </c>
      <c r="C746" s="7" t="s">
        <v>663</v>
      </c>
      <c r="D746" s="7" t="s">
        <v>664</v>
      </c>
      <c r="E746" s="7" t="str">
        <f>"符史阳"</f>
        <v>符史阳</v>
      </c>
      <c r="F746" s="7" t="str">
        <f t="shared" si="166"/>
        <v>男</v>
      </c>
      <c r="G746" s="7" t="s">
        <v>364</v>
      </c>
      <c r="H746" s="8"/>
    </row>
    <row r="747" ht="25" customHeight="1" spans="1:8">
      <c r="A747" s="6">
        <v>745</v>
      </c>
      <c r="B747" s="7" t="str">
        <f t="shared" si="167"/>
        <v>103</v>
      </c>
      <c r="C747" s="7" t="s">
        <v>663</v>
      </c>
      <c r="D747" s="7" t="s">
        <v>664</v>
      </c>
      <c r="E747" s="7" t="str">
        <f>"杨捷"</f>
        <v>杨捷</v>
      </c>
      <c r="F747" s="7" t="str">
        <f t="shared" si="166"/>
        <v>男</v>
      </c>
      <c r="G747" s="7" t="s">
        <v>720</v>
      </c>
      <c r="H747" s="8"/>
    </row>
    <row r="748" ht="25" customHeight="1" spans="1:8">
      <c r="A748" s="6">
        <v>746</v>
      </c>
      <c r="B748" s="7" t="str">
        <f t="shared" si="167"/>
        <v>103</v>
      </c>
      <c r="C748" s="7" t="s">
        <v>663</v>
      </c>
      <c r="D748" s="7" t="s">
        <v>664</v>
      </c>
      <c r="E748" s="7" t="str">
        <f>"张毓娟"</f>
        <v>张毓娟</v>
      </c>
      <c r="F748" s="7" t="str">
        <f t="shared" ref="F748:F752" si="168">"女"</f>
        <v>女</v>
      </c>
      <c r="G748" s="7" t="s">
        <v>721</v>
      </c>
      <c r="H748" s="8"/>
    </row>
    <row r="749" ht="25" customHeight="1" spans="1:8">
      <c r="A749" s="6">
        <v>747</v>
      </c>
      <c r="B749" s="7" t="str">
        <f t="shared" si="167"/>
        <v>103</v>
      </c>
      <c r="C749" s="7" t="s">
        <v>663</v>
      </c>
      <c r="D749" s="7" t="s">
        <v>664</v>
      </c>
      <c r="E749" s="7" t="str">
        <f>"吴清科"</f>
        <v>吴清科</v>
      </c>
      <c r="F749" s="7" t="str">
        <f t="shared" ref="F749:F754" si="169">"男"</f>
        <v>男</v>
      </c>
      <c r="G749" s="7" t="s">
        <v>722</v>
      </c>
      <c r="H749" s="8"/>
    </row>
    <row r="750" ht="25" customHeight="1" spans="1:8">
      <c r="A750" s="6">
        <v>748</v>
      </c>
      <c r="B750" s="7" t="str">
        <f t="shared" si="167"/>
        <v>103</v>
      </c>
      <c r="C750" s="7" t="s">
        <v>663</v>
      </c>
      <c r="D750" s="7" t="s">
        <v>664</v>
      </c>
      <c r="E750" s="7" t="str">
        <f>"裴梦莹"</f>
        <v>裴梦莹</v>
      </c>
      <c r="F750" s="7" t="str">
        <f t="shared" si="168"/>
        <v>女</v>
      </c>
      <c r="G750" s="7" t="s">
        <v>723</v>
      </c>
      <c r="H750" s="8"/>
    </row>
    <row r="751" ht="25" customHeight="1" spans="1:8">
      <c r="A751" s="6">
        <v>749</v>
      </c>
      <c r="B751" s="7" t="str">
        <f t="shared" si="167"/>
        <v>103</v>
      </c>
      <c r="C751" s="7" t="s">
        <v>663</v>
      </c>
      <c r="D751" s="7" t="s">
        <v>664</v>
      </c>
      <c r="E751" s="7" t="str">
        <f>"陈明文"</f>
        <v>陈明文</v>
      </c>
      <c r="F751" s="7" t="str">
        <f t="shared" si="169"/>
        <v>男</v>
      </c>
      <c r="G751" s="7" t="s">
        <v>724</v>
      </c>
      <c r="H751" s="8"/>
    </row>
    <row r="752" ht="25" customHeight="1" spans="1:8">
      <c r="A752" s="6">
        <v>750</v>
      </c>
      <c r="B752" s="7" t="str">
        <f t="shared" si="167"/>
        <v>103</v>
      </c>
      <c r="C752" s="7" t="s">
        <v>663</v>
      </c>
      <c r="D752" s="7" t="s">
        <v>664</v>
      </c>
      <c r="E752" s="7" t="str">
        <f>"符婧"</f>
        <v>符婧</v>
      </c>
      <c r="F752" s="7" t="str">
        <f t="shared" si="168"/>
        <v>女</v>
      </c>
      <c r="G752" s="7" t="s">
        <v>725</v>
      </c>
      <c r="H752" s="8"/>
    </row>
    <row r="753" ht="25" customHeight="1" spans="1:8">
      <c r="A753" s="6">
        <v>751</v>
      </c>
      <c r="B753" s="7" t="str">
        <f t="shared" si="167"/>
        <v>103</v>
      </c>
      <c r="C753" s="7" t="s">
        <v>663</v>
      </c>
      <c r="D753" s="7" t="s">
        <v>664</v>
      </c>
      <c r="E753" s="7" t="str">
        <f>"史才屯"</f>
        <v>史才屯</v>
      </c>
      <c r="F753" s="7" t="str">
        <f t="shared" si="169"/>
        <v>男</v>
      </c>
      <c r="G753" s="7" t="s">
        <v>726</v>
      </c>
      <c r="H753" s="8"/>
    </row>
    <row r="754" ht="25" customHeight="1" spans="1:8">
      <c r="A754" s="6">
        <v>752</v>
      </c>
      <c r="B754" s="7" t="str">
        <f t="shared" si="167"/>
        <v>103</v>
      </c>
      <c r="C754" s="7" t="s">
        <v>663</v>
      </c>
      <c r="D754" s="7" t="s">
        <v>664</v>
      </c>
      <c r="E754" s="7" t="str">
        <f>"李骏达"</f>
        <v>李骏达</v>
      </c>
      <c r="F754" s="7" t="str">
        <f t="shared" si="169"/>
        <v>男</v>
      </c>
      <c r="G754" s="7" t="s">
        <v>727</v>
      </c>
      <c r="H754" s="8"/>
    </row>
    <row r="755" ht="25" customHeight="1" spans="1:8">
      <c r="A755" s="6">
        <v>753</v>
      </c>
      <c r="B755" s="7" t="str">
        <f t="shared" si="167"/>
        <v>103</v>
      </c>
      <c r="C755" s="7" t="s">
        <v>663</v>
      </c>
      <c r="D755" s="7" t="s">
        <v>664</v>
      </c>
      <c r="E755" s="7" t="str">
        <f>"赖沁洁"</f>
        <v>赖沁洁</v>
      </c>
      <c r="F755" s="7" t="str">
        <f t="shared" ref="F755:F761" si="170">"女"</f>
        <v>女</v>
      </c>
      <c r="G755" s="7" t="s">
        <v>728</v>
      </c>
      <c r="H755" s="8"/>
    </row>
    <row r="756" ht="25" customHeight="1" spans="1:8">
      <c r="A756" s="6">
        <v>754</v>
      </c>
      <c r="B756" s="7" t="str">
        <f t="shared" si="167"/>
        <v>103</v>
      </c>
      <c r="C756" s="7" t="s">
        <v>663</v>
      </c>
      <c r="D756" s="7" t="s">
        <v>664</v>
      </c>
      <c r="E756" s="7" t="str">
        <f>"谢春妍"</f>
        <v>谢春妍</v>
      </c>
      <c r="F756" s="7" t="str">
        <f t="shared" si="170"/>
        <v>女</v>
      </c>
      <c r="G756" s="7" t="s">
        <v>191</v>
      </c>
      <c r="H756" s="8"/>
    </row>
    <row r="757" ht="25" customHeight="1" spans="1:8">
      <c r="A757" s="6">
        <v>755</v>
      </c>
      <c r="B757" s="7" t="str">
        <f t="shared" si="167"/>
        <v>103</v>
      </c>
      <c r="C757" s="7" t="s">
        <v>663</v>
      </c>
      <c r="D757" s="7" t="s">
        <v>664</v>
      </c>
      <c r="E757" s="7" t="str">
        <f>"羊成平"</f>
        <v>羊成平</v>
      </c>
      <c r="F757" s="7" t="str">
        <f t="shared" ref="F757:F759" si="171">"男"</f>
        <v>男</v>
      </c>
      <c r="G757" s="7" t="s">
        <v>729</v>
      </c>
      <c r="H757" s="8"/>
    </row>
    <row r="758" ht="25" customHeight="1" spans="1:8">
      <c r="A758" s="6">
        <v>756</v>
      </c>
      <c r="B758" s="7" t="str">
        <f t="shared" si="167"/>
        <v>103</v>
      </c>
      <c r="C758" s="7" t="s">
        <v>663</v>
      </c>
      <c r="D758" s="7" t="s">
        <v>664</v>
      </c>
      <c r="E758" s="7" t="str">
        <f>"吴威"</f>
        <v>吴威</v>
      </c>
      <c r="F758" s="7" t="str">
        <f t="shared" si="171"/>
        <v>男</v>
      </c>
      <c r="G758" s="7" t="s">
        <v>730</v>
      </c>
      <c r="H758" s="8"/>
    </row>
    <row r="759" ht="25" customHeight="1" spans="1:8">
      <c r="A759" s="6">
        <v>757</v>
      </c>
      <c r="B759" s="7" t="str">
        <f t="shared" si="167"/>
        <v>103</v>
      </c>
      <c r="C759" s="7" t="s">
        <v>663</v>
      </c>
      <c r="D759" s="7" t="s">
        <v>664</v>
      </c>
      <c r="E759" s="7" t="str">
        <f>"文寿钧"</f>
        <v>文寿钧</v>
      </c>
      <c r="F759" s="7" t="str">
        <f t="shared" si="171"/>
        <v>男</v>
      </c>
      <c r="G759" s="7" t="s">
        <v>731</v>
      </c>
      <c r="H759" s="8"/>
    </row>
    <row r="760" ht="25" customHeight="1" spans="1:8">
      <c r="A760" s="6">
        <v>758</v>
      </c>
      <c r="B760" s="7" t="str">
        <f t="shared" si="167"/>
        <v>103</v>
      </c>
      <c r="C760" s="7" t="s">
        <v>663</v>
      </c>
      <c r="D760" s="7" t="s">
        <v>664</v>
      </c>
      <c r="E760" s="7" t="str">
        <f>"李梅"</f>
        <v>李梅</v>
      </c>
      <c r="F760" s="7" t="str">
        <f t="shared" si="170"/>
        <v>女</v>
      </c>
      <c r="G760" s="7" t="s">
        <v>732</v>
      </c>
      <c r="H760" s="8"/>
    </row>
    <row r="761" ht="25" customHeight="1" spans="1:8">
      <c r="A761" s="6">
        <v>759</v>
      </c>
      <c r="B761" s="7" t="str">
        <f t="shared" si="167"/>
        <v>103</v>
      </c>
      <c r="C761" s="7" t="s">
        <v>663</v>
      </c>
      <c r="D761" s="7" t="s">
        <v>664</v>
      </c>
      <c r="E761" s="7" t="str">
        <f>"王岚"</f>
        <v>王岚</v>
      </c>
      <c r="F761" s="7" t="str">
        <f t="shared" si="170"/>
        <v>女</v>
      </c>
      <c r="G761" s="7" t="s">
        <v>733</v>
      </c>
      <c r="H761" s="8"/>
    </row>
    <row r="762" ht="25" customHeight="1" spans="1:8">
      <c r="A762" s="6">
        <v>760</v>
      </c>
      <c r="B762" s="7" t="str">
        <f t="shared" si="167"/>
        <v>103</v>
      </c>
      <c r="C762" s="7" t="s">
        <v>663</v>
      </c>
      <c r="D762" s="7" t="s">
        <v>664</v>
      </c>
      <c r="E762" s="7" t="str">
        <f>"蔡宇杰"</f>
        <v>蔡宇杰</v>
      </c>
      <c r="F762" s="7" t="str">
        <f t="shared" ref="F762:F769" si="172">"男"</f>
        <v>男</v>
      </c>
      <c r="G762" s="7" t="s">
        <v>734</v>
      </c>
      <c r="H762" s="8"/>
    </row>
    <row r="763" ht="25" customHeight="1" spans="1:8">
      <c r="A763" s="6">
        <v>761</v>
      </c>
      <c r="B763" s="7" t="str">
        <f t="shared" si="167"/>
        <v>103</v>
      </c>
      <c r="C763" s="7" t="s">
        <v>663</v>
      </c>
      <c r="D763" s="7" t="s">
        <v>664</v>
      </c>
      <c r="E763" s="7" t="str">
        <f>"梁其峰"</f>
        <v>梁其峰</v>
      </c>
      <c r="F763" s="7" t="str">
        <f t="shared" si="172"/>
        <v>男</v>
      </c>
      <c r="G763" s="7" t="s">
        <v>735</v>
      </c>
      <c r="H763" s="8"/>
    </row>
    <row r="764" ht="25" customHeight="1" spans="1:8">
      <c r="A764" s="6">
        <v>762</v>
      </c>
      <c r="B764" s="7" t="str">
        <f t="shared" si="167"/>
        <v>103</v>
      </c>
      <c r="C764" s="7" t="s">
        <v>663</v>
      </c>
      <c r="D764" s="7" t="s">
        <v>664</v>
      </c>
      <c r="E764" s="7" t="str">
        <f>"周怡静"</f>
        <v>周怡静</v>
      </c>
      <c r="F764" s="7" t="str">
        <f>"女"</f>
        <v>女</v>
      </c>
      <c r="G764" s="7" t="s">
        <v>736</v>
      </c>
      <c r="H764" s="8"/>
    </row>
    <row r="765" ht="25" customHeight="1" spans="1:8">
      <c r="A765" s="6">
        <v>763</v>
      </c>
      <c r="B765" s="7" t="str">
        <f t="shared" si="167"/>
        <v>103</v>
      </c>
      <c r="C765" s="7" t="s">
        <v>663</v>
      </c>
      <c r="D765" s="7" t="s">
        <v>664</v>
      </c>
      <c r="E765" s="7" t="str">
        <f>"林文姗"</f>
        <v>林文姗</v>
      </c>
      <c r="F765" s="7" t="str">
        <f>"女"</f>
        <v>女</v>
      </c>
      <c r="G765" s="7" t="s">
        <v>737</v>
      </c>
      <c r="H765" s="8"/>
    </row>
    <row r="766" ht="25" customHeight="1" spans="1:8">
      <c r="A766" s="6">
        <v>764</v>
      </c>
      <c r="B766" s="7" t="str">
        <f t="shared" si="167"/>
        <v>103</v>
      </c>
      <c r="C766" s="7" t="s">
        <v>663</v>
      </c>
      <c r="D766" s="7" t="s">
        <v>664</v>
      </c>
      <c r="E766" s="7" t="str">
        <f>"邢圣业"</f>
        <v>邢圣业</v>
      </c>
      <c r="F766" s="7" t="str">
        <f t="shared" si="172"/>
        <v>男</v>
      </c>
      <c r="G766" s="7" t="s">
        <v>738</v>
      </c>
      <c r="H766" s="8"/>
    </row>
    <row r="767" ht="25" customHeight="1" spans="1:8">
      <c r="A767" s="6">
        <v>765</v>
      </c>
      <c r="B767" s="7" t="str">
        <f t="shared" si="167"/>
        <v>103</v>
      </c>
      <c r="C767" s="7" t="s">
        <v>663</v>
      </c>
      <c r="D767" s="7" t="s">
        <v>664</v>
      </c>
      <c r="E767" s="7" t="str">
        <f>"王宇"</f>
        <v>王宇</v>
      </c>
      <c r="F767" s="7" t="str">
        <f t="shared" si="172"/>
        <v>男</v>
      </c>
      <c r="G767" s="7" t="s">
        <v>739</v>
      </c>
      <c r="H767" s="8"/>
    </row>
    <row r="768" ht="25" customHeight="1" spans="1:8">
      <c r="A768" s="6">
        <v>766</v>
      </c>
      <c r="B768" s="7" t="str">
        <f t="shared" si="167"/>
        <v>103</v>
      </c>
      <c r="C768" s="7" t="s">
        <v>663</v>
      </c>
      <c r="D768" s="7" t="s">
        <v>664</v>
      </c>
      <c r="E768" s="7" t="str">
        <f>"王盛"</f>
        <v>王盛</v>
      </c>
      <c r="F768" s="7" t="str">
        <f t="shared" si="172"/>
        <v>男</v>
      </c>
      <c r="G768" s="7" t="s">
        <v>740</v>
      </c>
      <c r="H768" s="8"/>
    </row>
    <row r="769" ht="25" customHeight="1" spans="1:8">
      <c r="A769" s="6">
        <v>767</v>
      </c>
      <c r="B769" s="7" t="str">
        <f t="shared" si="167"/>
        <v>103</v>
      </c>
      <c r="C769" s="7" t="s">
        <v>663</v>
      </c>
      <c r="D769" s="7" t="s">
        <v>664</v>
      </c>
      <c r="E769" s="7" t="str">
        <f>"吉常奋"</f>
        <v>吉常奋</v>
      </c>
      <c r="F769" s="7" t="str">
        <f t="shared" si="172"/>
        <v>男</v>
      </c>
      <c r="G769" s="7" t="s">
        <v>741</v>
      </c>
      <c r="H769" s="8"/>
    </row>
    <row r="770" ht="25" customHeight="1" spans="1:8">
      <c r="A770" s="6">
        <v>768</v>
      </c>
      <c r="B770" s="7" t="str">
        <f t="shared" si="167"/>
        <v>103</v>
      </c>
      <c r="C770" s="7" t="s">
        <v>663</v>
      </c>
      <c r="D770" s="7" t="s">
        <v>664</v>
      </c>
      <c r="E770" s="7" t="str">
        <f>"吉家欢"</f>
        <v>吉家欢</v>
      </c>
      <c r="F770" s="7" t="str">
        <f>"女"</f>
        <v>女</v>
      </c>
      <c r="G770" s="7" t="s">
        <v>742</v>
      </c>
      <c r="H770" s="8"/>
    </row>
    <row r="771" ht="25" customHeight="1" spans="1:8">
      <c r="A771" s="6">
        <v>769</v>
      </c>
      <c r="B771" s="7" t="str">
        <f t="shared" si="167"/>
        <v>103</v>
      </c>
      <c r="C771" s="7" t="s">
        <v>663</v>
      </c>
      <c r="D771" s="7" t="s">
        <v>664</v>
      </c>
      <c r="E771" s="7" t="str">
        <f>"王炫元"</f>
        <v>王炫元</v>
      </c>
      <c r="F771" s="7" t="str">
        <f>"女"</f>
        <v>女</v>
      </c>
      <c r="G771" s="7" t="s">
        <v>743</v>
      </c>
      <c r="H771" s="8"/>
    </row>
    <row r="772" ht="25" customHeight="1" spans="1:8">
      <c r="A772" s="6">
        <v>770</v>
      </c>
      <c r="B772" s="7" t="str">
        <f t="shared" si="167"/>
        <v>103</v>
      </c>
      <c r="C772" s="7" t="s">
        <v>663</v>
      </c>
      <c r="D772" s="7" t="s">
        <v>664</v>
      </c>
      <c r="E772" s="7" t="str">
        <f>"文东辉"</f>
        <v>文东辉</v>
      </c>
      <c r="F772" s="7" t="str">
        <f t="shared" ref="F772:F775" si="173">"男"</f>
        <v>男</v>
      </c>
      <c r="G772" s="7" t="s">
        <v>744</v>
      </c>
      <c r="H772" s="8"/>
    </row>
    <row r="773" ht="25" customHeight="1" spans="1:8">
      <c r="A773" s="6">
        <v>771</v>
      </c>
      <c r="B773" s="7" t="str">
        <f t="shared" si="167"/>
        <v>103</v>
      </c>
      <c r="C773" s="7" t="s">
        <v>663</v>
      </c>
      <c r="D773" s="7" t="s">
        <v>664</v>
      </c>
      <c r="E773" s="7" t="str">
        <f>"文萧棋"</f>
        <v>文萧棋</v>
      </c>
      <c r="F773" s="7" t="str">
        <f t="shared" si="173"/>
        <v>男</v>
      </c>
      <c r="G773" s="7" t="s">
        <v>745</v>
      </c>
      <c r="H773" s="8"/>
    </row>
    <row r="774" ht="25" customHeight="1" spans="1:8">
      <c r="A774" s="6">
        <v>772</v>
      </c>
      <c r="B774" s="7" t="str">
        <f t="shared" si="167"/>
        <v>103</v>
      </c>
      <c r="C774" s="7" t="s">
        <v>663</v>
      </c>
      <c r="D774" s="7" t="s">
        <v>664</v>
      </c>
      <c r="E774" s="7" t="str">
        <f>"钟会见"</f>
        <v>钟会见</v>
      </c>
      <c r="F774" s="7" t="str">
        <f t="shared" si="173"/>
        <v>男</v>
      </c>
      <c r="G774" s="7" t="s">
        <v>746</v>
      </c>
      <c r="H774" s="8"/>
    </row>
    <row r="775" ht="25" customHeight="1" spans="1:8">
      <c r="A775" s="6">
        <v>773</v>
      </c>
      <c r="B775" s="7" t="str">
        <f t="shared" si="167"/>
        <v>103</v>
      </c>
      <c r="C775" s="7" t="s">
        <v>663</v>
      </c>
      <c r="D775" s="7" t="s">
        <v>664</v>
      </c>
      <c r="E775" s="7" t="str">
        <f>"李世玉"</f>
        <v>李世玉</v>
      </c>
      <c r="F775" s="7" t="str">
        <f t="shared" si="173"/>
        <v>男</v>
      </c>
      <c r="G775" s="7" t="s">
        <v>747</v>
      </c>
      <c r="H775" s="8"/>
    </row>
    <row r="776" ht="25" customHeight="1" spans="1:8">
      <c r="A776" s="6">
        <v>774</v>
      </c>
      <c r="B776" s="7" t="str">
        <f t="shared" si="167"/>
        <v>103</v>
      </c>
      <c r="C776" s="7" t="s">
        <v>663</v>
      </c>
      <c r="D776" s="7" t="s">
        <v>664</v>
      </c>
      <c r="E776" s="7" t="str">
        <f>"李虹芳"</f>
        <v>李虹芳</v>
      </c>
      <c r="F776" s="7" t="str">
        <f t="shared" ref="F776:F779" si="174">"女"</f>
        <v>女</v>
      </c>
      <c r="G776" s="7" t="s">
        <v>748</v>
      </c>
      <c r="H776" s="8"/>
    </row>
    <row r="777" ht="25" customHeight="1" spans="1:8">
      <c r="A777" s="6">
        <v>775</v>
      </c>
      <c r="B777" s="7" t="str">
        <f t="shared" si="167"/>
        <v>103</v>
      </c>
      <c r="C777" s="7" t="s">
        <v>663</v>
      </c>
      <c r="D777" s="7" t="s">
        <v>664</v>
      </c>
      <c r="E777" s="7" t="str">
        <f>"麦钰泓"</f>
        <v>麦钰泓</v>
      </c>
      <c r="F777" s="7" t="str">
        <f t="shared" si="174"/>
        <v>女</v>
      </c>
      <c r="G777" s="7" t="s">
        <v>749</v>
      </c>
      <c r="H777" s="8"/>
    </row>
    <row r="778" ht="25" customHeight="1" spans="1:8">
      <c r="A778" s="6">
        <v>776</v>
      </c>
      <c r="B778" s="7" t="str">
        <f t="shared" si="167"/>
        <v>103</v>
      </c>
      <c r="C778" s="7" t="s">
        <v>663</v>
      </c>
      <c r="D778" s="7" t="s">
        <v>664</v>
      </c>
      <c r="E778" s="7" t="str">
        <f>"徐世龙"</f>
        <v>徐世龙</v>
      </c>
      <c r="F778" s="7" t="str">
        <f t="shared" ref="F778:F781" si="175">"男"</f>
        <v>男</v>
      </c>
      <c r="G778" s="7" t="s">
        <v>750</v>
      </c>
      <c r="H778" s="8"/>
    </row>
    <row r="779" ht="25" customHeight="1" spans="1:8">
      <c r="A779" s="6">
        <v>777</v>
      </c>
      <c r="B779" s="7" t="str">
        <f t="shared" si="167"/>
        <v>103</v>
      </c>
      <c r="C779" s="7" t="s">
        <v>663</v>
      </c>
      <c r="D779" s="7" t="s">
        <v>664</v>
      </c>
      <c r="E779" s="7" t="str">
        <f>"黄春玉"</f>
        <v>黄春玉</v>
      </c>
      <c r="F779" s="7" t="str">
        <f t="shared" si="174"/>
        <v>女</v>
      </c>
      <c r="G779" s="7" t="s">
        <v>751</v>
      </c>
      <c r="H779" s="8"/>
    </row>
    <row r="780" ht="25" customHeight="1" spans="1:8">
      <c r="A780" s="6">
        <v>778</v>
      </c>
      <c r="B780" s="7" t="str">
        <f t="shared" si="167"/>
        <v>103</v>
      </c>
      <c r="C780" s="7" t="s">
        <v>663</v>
      </c>
      <c r="D780" s="7" t="s">
        <v>664</v>
      </c>
      <c r="E780" s="7" t="str">
        <f>"陆秦江"</f>
        <v>陆秦江</v>
      </c>
      <c r="F780" s="7" t="str">
        <f t="shared" si="175"/>
        <v>男</v>
      </c>
      <c r="G780" s="7" t="s">
        <v>752</v>
      </c>
      <c r="H780" s="8"/>
    </row>
    <row r="781" ht="25" customHeight="1" spans="1:8">
      <c r="A781" s="6">
        <v>779</v>
      </c>
      <c r="B781" s="7" t="str">
        <f t="shared" si="167"/>
        <v>103</v>
      </c>
      <c r="C781" s="7" t="s">
        <v>663</v>
      </c>
      <c r="D781" s="7" t="s">
        <v>664</v>
      </c>
      <c r="E781" s="7" t="str">
        <f>"王德秀"</f>
        <v>王德秀</v>
      </c>
      <c r="F781" s="7" t="str">
        <f t="shared" si="175"/>
        <v>男</v>
      </c>
      <c r="G781" s="7" t="s">
        <v>753</v>
      </c>
      <c r="H781" s="8"/>
    </row>
    <row r="782" ht="25" customHeight="1" spans="1:8">
      <c r="A782" s="6">
        <v>780</v>
      </c>
      <c r="B782" s="7" t="str">
        <f t="shared" si="167"/>
        <v>103</v>
      </c>
      <c r="C782" s="7" t="s">
        <v>663</v>
      </c>
      <c r="D782" s="7" t="s">
        <v>664</v>
      </c>
      <c r="E782" s="7" t="str">
        <f>"董紫莹"</f>
        <v>董紫莹</v>
      </c>
      <c r="F782" s="7" t="str">
        <f t="shared" ref="F782:F788" si="176">"女"</f>
        <v>女</v>
      </c>
      <c r="G782" s="7" t="s">
        <v>754</v>
      </c>
      <c r="H782" s="8"/>
    </row>
    <row r="783" ht="25" customHeight="1" spans="1:8">
      <c r="A783" s="6">
        <v>781</v>
      </c>
      <c r="B783" s="7" t="str">
        <f t="shared" si="167"/>
        <v>103</v>
      </c>
      <c r="C783" s="7" t="s">
        <v>663</v>
      </c>
      <c r="D783" s="7" t="s">
        <v>664</v>
      </c>
      <c r="E783" s="7" t="str">
        <f>"陈明辉"</f>
        <v>陈明辉</v>
      </c>
      <c r="F783" s="7" t="str">
        <f>"男"</f>
        <v>男</v>
      </c>
      <c r="G783" s="7" t="s">
        <v>755</v>
      </c>
      <c r="H783" s="8"/>
    </row>
    <row r="784" ht="25" customHeight="1" spans="1:8">
      <c r="A784" s="6">
        <v>782</v>
      </c>
      <c r="B784" s="7" t="str">
        <f t="shared" si="167"/>
        <v>103</v>
      </c>
      <c r="C784" s="7" t="s">
        <v>663</v>
      </c>
      <c r="D784" s="7" t="s">
        <v>664</v>
      </c>
      <c r="E784" s="7" t="str">
        <f>"周扬"</f>
        <v>周扬</v>
      </c>
      <c r="F784" s="7" t="str">
        <f t="shared" si="176"/>
        <v>女</v>
      </c>
      <c r="G784" s="7" t="s">
        <v>756</v>
      </c>
      <c r="H784" s="8"/>
    </row>
    <row r="785" ht="25" customHeight="1" spans="1:8">
      <c r="A785" s="6">
        <v>783</v>
      </c>
      <c r="B785" s="7" t="str">
        <f t="shared" si="167"/>
        <v>103</v>
      </c>
      <c r="C785" s="7" t="s">
        <v>663</v>
      </c>
      <c r="D785" s="7" t="s">
        <v>664</v>
      </c>
      <c r="E785" s="7" t="str">
        <f>"何远兴"</f>
        <v>何远兴</v>
      </c>
      <c r="F785" s="7" t="str">
        <f>"男"</f>
        <v>男</v>
      </c>
      <c r="G785" s="7" t="s">
        <v>757</v>
      </c>
      <c r="H785" s="8"/>
    </row>
    <row r="786" ht="25" customHeight="1" spans="1:8">
      <c r="A786" s="6">
        <v>784</v>
      </c>
      <c r="B786" s="7" t="str">
        <f t="shared" si="167"/>
        <v>103</v>
      </c>
      <c r="C786" s="7" t="s">
        <v>663</v>
      </c>
      <c r="D786" s="7" t="s">
        <v>664</v>
      </c>
      <c r="E786" s="7" t="str">
        <f>"周佳秋"</f>
        <v>周佳秋</v>
      </c>
      <c r="F786" s="7" t="str">
        <f t="shared" si="176"/>
        <v>女</v>
      </c>
      <c r="G786" s="7" t="s">
        <v>758</v>
      </c>
      <c r="H786" s="8"/>
    </row>
    <row r="787" ht="25" customHeight="1" spans="1:8">
      <c r="A787" s="6">
        <v>785</v>
      </c>
      <c r="B787" s="7" t="str">
        <f t="shared" si="167"/>
        <v>103</v>
      </c>
      <c r="C787" s="7" t="s">
        <v>663</v>
      </c>
      <c r="D787" s="7" t="s">
        <v>664</v>
      </c>
      <c r="E787" s="7" t="str">
        <f>"黎娇婉"</f>
        <v>黎娇婉</v>
      </c>
      <c r="F787" s="7" t="str">
        <f t="shared" si="176"/>
        <v>女</v>
      </c>
      <c r="G787" s="7" t="s">
        <v>759</v>
      </c>
      <c r="H787" s="8"/>
    </row>
    <row r="788" ht="25" customHeight="1" spans="1:8">
      <c r="A788" s="6">
        <v>786</v>
      </c>
      <c r="B788" s="7" t="str">
        <f t="shared" si="167"/>
        <v>103</v>
      </c>
      <c r="C788" s="7" t="s">
        <v>663</v>
      </c>
      <c r="D788" s="7" t="s">
        <v>664</v>
      </c>
      <c r="E788" s="7" t="str">
        <f>"张悦琦"</f>
        <v>张悦琦</v>
      </c>
      <c r="F788" s="7" t="str">
        <f t="shared" si="176"/>
        <v>女</v>
      </c>
      <c r="G788" s="7" t="s">
        <v>93</v>
      </c>
      <c r="H788" s="8"/>
    </row>
    <row r="789" ht="25" customHeight="1" spans="1:8">
      <c r="A789" s="6">
        <v>787</v>
      </c>
      <c r="B789" s="7" t="str">
        <f t="shared" si="167"/>
        <v>103</v>
      </c>
      <c r="C789" s="7" t="s">
        <v>663</v>
      </c>
      <c r="D789" s="7" t="s">
        <v>664</v>
      </c>
      <c r="E789" s="7" t="str">
        <f>"孙令统"</f>
        <v>孙令统</v>
      </c>
      <c r="F789" s="7" t="str">
        <f>"男"</f>
        <v>男</v>
      </c>
      <c r="G789" s="7" t="s">
        <v>760</v>
      </c>
      <c r="H789" s="8"/>
    </row>
    <row r="790" ht="25" customHeight="1" spans="1:8">
      <c r="A790" s="6">
        <v>788</v>
      </c>
      <c r="B790" s="7" t="str">
        <f t="shared" si="167"/>
        <v>103</v>
      </c>
      <c r="C790" s="7" t="s">
        <v>663</v>
      </c>
      <c r="D790" s="7" t="s">
        <v>664</v>
      </c>
      <c r="E790" s="7" t="str">
        <f>"董莉"</f>
        <v>董莉</v>
      </c>
      <c r="F790" s="7" t="str">
        <f t="shared" ref="F790:F795" si="177">"女"</f>
        <v>女</v>
      </c>
      <c r="G790" s="7" t="s">
        <v>102</v>
      </c>
      <c r="H790" s="8"/>
    </row>
    <row r="791" ht="25" customHeight="1" spans="1:8">
      <c r="A791" s="6">
        <v>789</v>
      </c>
      <c r="B791" s="7" t="str">
        <f t="shared" si="167"/>
        <v>103</v>
      </c>
      <c r="C791" s="7" t="s">
        <v>663</v>
      </c>
      <c r="D791" s="7" t="s">
        <v>664</v>
      </c>
      <c r="E791" s="7" t="str">
        <f>"陈奎岱"</f>
        <v>陈奎岱</v>
      </c>
      <c r="F791" s="7" t="str">
        <f>"男"</f>
        <v>男</v>
      </c>
      <c r="G791" s="7" t="s">
        <v>295</v>
      </c>
      <c r="H791" s="8"/>
    </row>
    <row r="792" ht="25" customHeight="1" spans="1:8">
      <c r="A792" s="6">
        <v>790</v>
      </c>
      <c r="B792" s="7" t="str">
        <f t="shared" si="167"/>
        <v>103</v>
      </c>
      <c r="C792" s="7" t="s">
        <v>663</v>
      </c>
      <c r="D792" s="7" t="s">
        <v>664</v>
      </c>
      <c r="E792" s="7" t="str">
        <f>"黄月娥"</f>
        <v>黄月娥</v>
      </c>
      <c r="F792" s="7" t="str">
        <f t="shared" si="177"/>
        <v>女</v>
      </c>
      <c r="G792" s="7" t="s">
        <v>761</v>
      </c>
      <c r="H792" s="8"/>
    </row>
    <row r="793" ht="25" customHeight="1" spans="1:8">
      <c r="A793" s="6">
        <v>791</v>
      </c>
      <c r="B793" s="7" t="str">
        <f t="shared" si="167"/>
        <v>103</v>
      </c>
      <c r="C793" s="7" t="s">
        <v>663</v>
      </c>
      <c r="D793" s="7" t="s">
        <v>664</v>
      </c>
      <c r="E793" s="7" t="str">
        <f>"王群"</f>
        <v>王群</v>
      </c>
      <c r="F793" s="7" t="str">
        <f t="shared" si="177"/>
        <v>女</v>
      </c>
      <c r="G793" s="7" t="s">
        <v>762</v>
      </c>
      <c r="H793" s="8"/>
    </row>
    <row r="794" ht="25" customHeight="1" spans="1:8">
      <c r="A794" s="6">
        <v>792</v>
      </c>
      <c r="B794" s="7" t="str">
        <f t="shared" si="167"/>
        <v>103</v>
      </c>
      <c r="C794" s="7" t="s">
        <v>663</v>
      </c>
      <c r="D794" s="7" t="s">
        <v>664</v>
      </c>
      <c r="E794" s="7" t="str">
        <f>"陈丽钗"</f>
        <v>陈丽钗</v>
      </c>
      <c r="F794" s="7" t="str">
        <f t="shared" si="177"/>
        <v>女</v>
      </c>
      <c r="G794" s="7" t="s">
        <v>763</v>
      </c>
      <c r="H794" s="8"/>
    </row>
    <row r="795" ht="25" customHeight="1" spans="1:8">
      <c r="A795" s="6">
        <v>793</v>
      </c>
      <c r="B795" s="7" t="str">
        <f t="shared" si="167"/>
        <v>103</v>
      </c>
      <c r="C795" s="7" t="s">
        <v>663</v>
      </c>
      <c r="D795" s="7" t="s">
        <v>664</v>
      </c>
      <c r="E795" s="7" t="str">
        <f>"陈巧慧"</f>
        <v>陈巧慧</v>
      </c>
      <c r="F795" s="7" t="str">
        <f t="shared" si="177"/>
        <v>女</v>
      </c>
      <c r="G795" s="7" t="s">
        <v>764</v>
      </c>
      <c r="H795" s="8"/>
    </row>
    <row r="796" ht="25" customHeight="1" spans="1:8">
      <c r="A796" s="6">
        <v>794</v>
      </c>
      <c r="B796" s="7" t="str">
        <f t="shared" si="167"/>
        <v>103</v>
      </c>
      <c r="C796" s="7" t="s">
        <v>663</v>
      </c>
      <c r="D796" s="7" t="s">
        <v>664</v>
      </c>
      <c r="E796" s="7" t="str">
        <f>"李宁"</f>
        <v>李宁</v>
      </c>
      <c r="F796" s="7" t="str">
        <f t="shared" ref="F796:F798" si="178">"男"</f>
        <v>男</v>
      </c>
      <c r="G796" s="7" t="s">
        <v>765</v>
      </c>
      <c r="H796" s="8"/>
    </row>
    <row r="797" ht="25" customHeight="1" spans="1:8">
      <c r="A797" s="6">
        <v>795</v>
      </c>
      <c r="B797" s="7" t="str">
        <f t="shared" si="167"/>
        <v>103</v>
      </c>
      <c r="C797" s="7" t="s">
        <v>663</v>
      </c>
      <c r="D797" s="7" t="s">
        <v>664</v>
      </c>
      <c r="E797" s="7" t="str">
        <f>"吴振威"</f>
        <v>吴振威</v>
      </c>
      <c r="F797" s="7" t="str">
        <f t="shared" si="178"/>
        <v>男</v>
      </c>
      <c r="G797" s="7" t="s">
        <v>766</v>
      </c>
      <c r="H797" s="8"/>
    </row>
    <row r="798" ht="25" customHeight="1" spans="1:8">
      <c r="A798" s="6">
        <v>796</v>
      </c>
      <c r="B798" s="7" t="str">
        <f t="shared" si="167"/>
        <v>103</v>
      </c>
      <c r="C798" s="7" t="s">
        <v>663</v>
      </c>
      <c r="D798" s="7" t="s">
        <v>664</v>
      </c>
      <c r="E798" s="7" t="str">
        <f>"王伟哲"</f>
        <v>王伟哲</v>
      </c>
      <c r="F798" s="7" t="str">
        <f t="shared" si="178"/>
        <v>男</v>
      </c>
      <c r="G798" s="7" t="s">
        <v>543</v>
      </c>
      <c r="H798" s="8"/>
    </row>
    <row r="799" ht="25" customHeight="1" spans="1:8">
      <c r="A799" s="6">
        <v>797</v>
      </c>
      <c r="B799" s="7" t="str">
        <f t="shared" si="167"/>
        <v>103</v>
      </c>
      <c r="C799" s="7" t="s">
        <v>663</v>
      </c>
      <c r="D799" s="7" t="s">
        <v>664</v>
      </c>
      <c r="E799" s="7" t="str">
        <f>"杜明婷"</f>
        <v>杜明婷</v>
      </c>
      <c r="F799" s="7" t="str">
        <f t="shared" ref="F799:F804" si="179">"女"</f>
        <v>女</v>
      </c>
      <c r="G799" s="7" t="s">
        <v>767</v>
      </c>
      <c r="H799" s="8"/>
    </row>
    <row r="800" ht="25" customHeight="1" spans="1:8">
      <c r="A800" s="6">
        <v>798</v>
      </c>
      <c r="B800" s="7" t="str">
        <f t="shared" si="167"/>
        <v>103</v>
      </c>
      <c r="C800" s="7" t="s">
        <v>663</v>
      </c>
      <c r="D800" s="7" t="s">
        <v>664</v>
      </c>
      <c r="E800" s="7" t="str">
        <f>"吴润轩"</f>
        <v>吴润轩</v>
      </c>
      <c r="F800" s="7" t="str">
        <f t="shared" ref="F800:F802" si="180">"男"</f>
        <v>男</v>
      </c>
      <c r="G800" s="7" t="s">
        <v>768</v>
      </c>
      <c r="H800" s="8"/>
    </row>
    <row r="801" ht="25" customHeight="1" spans="1:8">
      <c r="A801" s="6">
        <v>799</v>
      </c>
      <c r="B801" s="7" t="str">
        <f t="shared" si="167"/>
        <v>103</v>
      </c>
      <c r="C801" s="7" t="s">
        <v>663</v>
      </c>
      <c r="D801" s="7" t="s">
        <v>664</v>
      </c>
      <c r="E801" s="7" t="str">
        <f>"许春南"</f>
        <v>许春南</v>
      </c>
      <c r="F801" s="7" t="str">
        <f t="shared" si="180"/>
        <v>男</v>
      </c>
      <c r="G801" s="7" t="s">
        <v>769</v>
      </c>
      <c r="H801" s="8"/>
    </row>
    <row r="802" ht="25" customHeight="1" spans="1:8">
      <c r="A802" s="6">
        <v>800</v>
      </c>
      <c r="B802" s="7" t="str">
        <f t="shared" si="167"/>
        <v>103</v>
      </c>
      <c r="C802" s="7" t="s">
        <v>663</v>
      </c>
      <c r="D802" s="7" t="s">
        <v>664</v>
      </c>
      <c r="E802" s="7" t="str">
        <f>"钟海"</f>
        <v>钟海</v>
      </c>
      <c r="F802" s="7" t="str">
        <f t="shared" si="180"/>
        <v>男</v>
      </c>
      <c r="G802" s="7" t="s">
        <v>239</v>
      </c>
      <c r="H802" s="8"/>
    </row>
    <row r="803" ht="25" customHeight="1" spans="1:8">
      <c r="A803" s="6">
        <v>801</v>
      </c>
      <c r="B803" s="7" t="str">
        <f t="shared" si="167"/>
        <v>103</v>
      </c>
      <c r="C803" s="7" t="s">
        <v>663</v>
      </c>
      <c r="D803" s="7" t="s">
        <v>664</v>
      </c>
      <c r="E803" s="7" t="str">
        <f>"倪津津"</f>
        <v>倪津津</v>
      </c>
      <c r="F803" s="7" t="str">
        <f t="shared" si="179"/>
        <v>女</v>
      </c>
      <c r="G803" s="7" t="s">
        <v>770</v>
      </c>
      <c r="H803" s="8"/>
    </row>
    <row r="804" ht="25" customHeight="1" spans="1:8">
      <c r="A804" s="6">
        <v>802</v>
      </c>
      <c r="B804" s="7" t="str">
        <f t="shared" si="167"/>
        <v>103</v>
      </c>
      <c r="C804" s="7" t="s">
        <v>663</v>
      </c>
      <c r="D804" s="7" t="s">
        <v>664</v>
      </c>
      <c r="E804" s="7" t="str">
        <f>"王梓丁"</f>
        <v>王梓丁</v>
      </c>
      <c r="F804" s="7" t="str">
        <f t="shared" si="179"/>
        <v>女</v>
      </c>
      <c r="G804" s="7" t="s">
        <v>771</v>
      </c>
      <c r="H804" s="8"/>
    </row>
    <row r="805" ht="25" customHeight="1" spans="1:8">
      <c r="A805" s="6">
        <v>803</v>
      </c>
      <c r="B805" s="7" t="str">
        <f t="shared" si="167"/>
        <v>103</v>
      </c>
      <c r="C805" s="7" t="s">
        <v>663</v>
      </c>
      <c r="D805" s="7" t="s">
        <v>664</v>
      </c>
      <c r="E805" s="7" t="str">
        <f>"陈灿"</f>
        <v>陈灿</v>
      </c>
      <c r="F805" s="7" t="str">
        <f>"男"</f>
        <v>男</v>
      </c>
      <c r="G805" s="7" t="s">
        <v>772</v>
      </c>
      <c r="H805" s="8"/>
    </row>
    <row r="806" ht="25" customHeight="1" spans="1:8">
      <c r="A806" s="6">
        <v>804</v>
      </c>
      <c r="B806" s="7" t="str">
        <f t="shared" si="167"/>
        <v>103</v>
      </c>
      <c r="C806" s="7" t="s">
        <v>663</v>
      </c>
      <c r="D806" s="7" t="s">
        <v>664</v>
      </c>
      <c r="E806" s="7" t="str">
        <f>"张红丽"</f>
        <v>张红丽</v>
      </c>
      <c r="F806" s="7" t="str">
        <f t="shared" ref="F806:F809" si="181">"女"</f>
        <v>女</v>
      </c>
      <c r="G806" s="7" t="s">
        <v>773</v>
      </c>
      <c r="H806" s="8"/>
    </row>
    <row r="807" ht="25" customHeight="1" spans="1:8">
      <c r="A807" s="6">
        <v>805</v>
      </c>
      <c r="B807" s="7" t="str">
        <f t="shared" si="167"/>
        <v>103</v>
      </c>
      <c r="C807" s="7" t="s">
        <v>663</v>
      </c>
      <c r="D807" s="7" t="s">
        <v>664</v>
      </c>
      <c r="E807" s="7" t="str">
        <f>"陈小惠"</f>
        <v>陈小惠</v>
      </c>
      <c r="F807" s="7" t="str">
        <f t="shared" si="181"/>
        <v>女</v>
      </c>
      <c r="G807" s="7" t="s">
        <v>308</v>
      </c>
      <c r="H807" s="8"/>
    </row>
    <row r="808" ht="25" customHeight="1" spans="1:8">
      <c r="A808" s="6">
        <v>806</v>
      </c>
      <c r="B808" s="7" t="str">
        <f t="shared" ref="B808:B871" si="182">"103"</f>
        <v>103</v>
      </c>
      <c r="C808" s="7" t="s">
        <v>663</v>
      </c>
      <c r="D808" s="7" t="s">
        <v>664</v>
      </c>
      <c r="E808" s="7" t="str">
        <f>"王春力"</f>
        <v>王春力</v>
      </c>
      <c r="F808" s="7" t="str">
        <f t="shared" si="181"/>
        <v>女</v>
      </c>
      <c r="G808" s="7" t="s">
        <v>774</v>
      </c>
      <c r="H808" s="8"/>
    </row>
    <row r="809" ht="25" customHeight="1" spans="1:8">
      <c r="A809" s="6">
        <v>807</v>
      </c>
      <c r="B809" s="7" t="str">
        <f t="shared" si="182"/>
        <v>103</v>
      </c>
      <c r="C809" s="7" t="s">
        <v>663</v>
      </c>
      <c r="D809" s="7" t="s">
        <v>664</v>
      </c>
      <c r="E809" s="7" t="str">
        <f>"马僖"</f>
        <v>马僖</v>
      </c>
      <c r="F809" s="7" t="str">
        <f t="shared" si="181"/>
        <v>女</v>
      </c>
      <c r="G809" s="7" t="s">
        <v>775</v>
      </c>
      <c r="H809" s="8"/>
    </row>
    <row r="810" ht="25" customHeight="1" spans="1:8">
      <c r="A810" s="6">
        <v>808</v>
      </c>
      <c r="B810" s="7" t="str">
        <f t="shared" si="182"/>
        <v>103</v>
      </c>
      <c r="C810" s="7" t="s">
        <v>663</v>
      </c>
      <c r="D810" s="7" t="s">
        <v>664</v>
      </c>
      <c r="E810" s="7" t="str">
        <f>"冀泽生"</f>
        <v>冀泽生</v>
      </c>
      <c r="F810" s="7" t="str">
        <f t="shared" ref="F810:F813" si="183">"男"</f>
        <v>男</v>
      </c>
      <c r="G810" s="7" t="s">
        <v>776</v>
      </c>
      <c r="H810" s="8"/>
    </row>
    <row r="811" ht="25" customHeight="1" spans="1:8">
      <c r="A811" s="6">
        <v>809</v>
      </c>
      <c r="B811" s="7" t="str">
        <f t="shared" si="182"/>
        <v>103</v>
      </c>
      <c r="C811" s="7" t="s">
        <v>663</v>
      </c>
      <c r="D811" s="7" t="s">
        <v>664</v>
      </c>
      <c r="E811" s="7" t="str">
        <f>"李瑞江"</f>
        <v>李瑞江</v>
      </c>
      <c r="F811" s="7" t="str">
        <f t="shared" si="183"/>
        <v>男</v>
      </c>
      <c r="G811" s="7" t="s">
        <v>130</v>
      </c>
      <c r="H811" s="8"/>
    </row>
    <row r="812" ht="25" customHeight="1" spans="1:8">
      <c r="A812" s="6">
        <v>810</v>
      </c>
      <c r="B812" s="7" t="str">
        <f t="shared" si="182"/>
        <v>103</v>
      </c>
      <c r="C812" s="7" t="s">
        <v>663</v>
      </c>
      <c r="D812" s="7" t="s">
        <v>664</v>
      </c>
      <c r="E812" s="7" t="str">
        <f>"欧佳欣"</f>
        <v>欧佳欣</v>
      </c>
      <c r="F812" s="7" t="str">
        <f t="shared" ref="F812:F816" si="184">"女"</f>
        <v>女</v>
      </c>
      <c r="G812" s="7" t="s">
        <v>235</v>
      </c>
      <c r="H812" s="8"/>
    </row>
    <row r="813" ht="25" customHeight="1" spans="1:8">
      <c r="A813" s="6">
        <v>811</v>
      </c>
      <c r="B813" s="7" t="str">
        <f t="shared" si="182"/>
        <v>103</v>
      </c>
      <c r="C813" s="7" t="s">
        <v>663</v>
      </c>
      <c r="D813" s="7" t="s">
        <v>664</v>
      </c>
      <c r="E813" s="7" t="str">
        <f>"王望澎"</f>
        <v>王望澎</v>
      </c>
      <c r="F813" s="7" t="str">
        <f t="shared" si="183"/>
        <v>男</v>
      </c>
      <c r="G813" s="7" t="s">
        <v>734</v>
      </c>
      <c r="H813" s="8"/>
    </row>
    <row r="814" ht="25" customHeight="1" spans="1:8">
      <c r="A814" s="6">
        <v>812</v>
      </c>
      <c r="B814" s="7" t="str">
        <f t="shared" si="182"/>
        <v>103</v>
      </c>
      <c r="C814" s="7" t="s">
        <v>663</v>
      </c>
      <c r="D814" s="7" t="s">
        <v>664</v>
      </c>
      <c r="E814" s="7" t="str">
        <f>"曾庆慧"</f>
        <v>曾庆慧</v>
      </c>
      <c r="F814" s="7" t="str">
        <f t="shared" si="184"/>
        <v>女</v>
      </c>
      <c r="G814" s="7" t="s">
        <v>375</v>
      </c>
      <c r="H814" s="8"/>
    </row>
    <row r="815" ht="25" customHeight="1" spans="1:8">
      <c r="A815" s="6">
        <v>813</v>
      </c>
      <c r="B815" s="7" t="str">
        <f t="shared" si="182"/>
        <v>103</v>
      </c>
      <c r="C815" s="7" t="s">
        <v>663</v>
      </c>
      <c r="D815" s="7" t="s">
        <v>664</v>
      </c>
      <c r="E815" s="7" t="str">
        <f>"刘书铭"</f>
        <v>刘书铭</v>
      </c>
      <c r="F815" s="7" t="str">
        <f t="shared" ref="F815:F819" si="185">"男"</f>
        <v>男</v>
      </c>
      <c r="G815" s="7" t="s">
        <v>777</v>
      </c>
      <c r="H815" s="8"/>
    </row>
    <row r="816" ht="25" customHeight="1" spans="1:8">
      <c r="A816" s="6">
        <v>814</v>
      </c>
      <c r="B816" s="7" t="str">
        <f t="shared" si="182"/>
        <v>103</v>
      </c>
      <c r="C816" s="7" t="s">
        <v>663</v>
      </c>
      <c r="D816" s="7" t="s">
        <v>664</v>
      </c>
      <c r="E816" s="7" t="str">
        <f>"徐欢"</f>
        <v>徐欢</v>
      </c>
      <c r="F816" s="7" t="str">
        <f t="shared" si="184"/>
        <v>女</v>
      </c>
      <c r="G816" s="7" t="s">
        <v>778</v>
      </c>
      <c r="H816" s="8"/>
    </row>
    <row r="817" ht="25" customHeight="1" spans="1:8">
      <c r="A817" s="6">
        <v>815</v>
      </c>
      <c r="B817" s="7" t="str">
        <f t="shared" si="182"/>
        <v>103</v>
      </c>
      <c r="C817" s="7" t="s">
        <v>663</v>
      </c>
      <c r="D817" s="7" t="s">
        <v>664</v>
      </c>
      <c r="E817" s="7" t="str">
        <f>"土育洋"</f>
        <v>土育洋</v>
      </c>
      <c r="F817" s="7" t="str">
        <f t="shared" si="185"/>
        <v>男</v>
      </c>
      <c r="G817" s="7" t="s">
        <v>779</v>
      </c>
      <c r="H817" s="8"/>
    </row>
    <row r="818" ht="25" customHeight="1" spans="1:8">
      <c r="A818" s="6">
        <v>816</v>
      </c>
      <c r="B818" s="7" t="str">
        <f t="shared" si="182"/>
        <v>103</v>
      </c>
      <c r="C818" s="7" t="s">
        <v>663</v>
      </c>
      <c r="D818" s="7" t="s">
        <v>664</v>
      </c>
      <c r="E818" s="7" t="str">
        <f>"蓝燕"</f>
        <v>蓝燕</v>
      </c>
      <c r="F818" s="7" t="str">
        <f t="shared" ref="F818:F821" si="186">"女"</f>
        <v>女</v>
      </c>
      <c r="G818" s="7" t="s">
        <v>780</v>
      </c>
      <c r="H818" s="8"/>
    </row>
    <row r="819" ht="25" customHeight="1" spans="1:8">
      <c r="A819" s="6">
        <v>817</v>
      </c>
      <c r="B819" s="7" t="str">
        <f t="shared" si="182"/>
        <v>103</v>
      </c>
      <c r="C819" s="7" t="s">
        <v>663</v>
      </c>
      <c r="D819" s="7" t="s">
        <v>664</v>
      </c>
      <c r="E819" s="7" t="str">
        <f>"林少钊"</f>
        <v>林少钊</v>
      </c>
      <c r="F819" s="7" t="str">
        <f t="shared" si="185"/>
        <v>男</v>
      </c>
      <c r="G819" s="7" t="s">
        <v>781</v>
      </c>
      <c r="H819" s="8"/>
    </row>
    <row r="820" ht="25" customHeight="1" spans="1:8">
      <c r="A820" s="6">
        <v>818</v>
      </c>
      <c r="B820" s="7" t="str">
        <f t="shared" si="182"/>
        <v>103</v>
      </c>
      <c r="C820" s="7" t="s">
        <v>663</v>
      </c>
      <c r="D820" s="7" t="s">
        <v>664</v>
      </c>
      <c r="E820" s="7" t="str">
        <f>"羊灵慧"</f>
        <v>羊灵慧</v>
      </c>
      <c r="F820" s="7" t="str">
        <f t="shared" si="186"/>
        <v>女</v>
      </c>
      <c r="G820" s="7" t="s">
        <v>782</v>
      </c>
      <c r="H820" s="8"/>
    </row>
    <row r="821" ht="25" customHeight="1" spans="1:8">
      <c r="A821" s="6">
        <v>819</v>
      </c>
      <c r="B821" s="7" t="str">
        <f t="shared" si="182"/>
        <v>103</v>
      </c>
      <c r="C821" s="7" t="s">
        <v>663</v>
      </c>
      <c r="D821" s="7" t="s">
        <v>664</v>
      </c>
      <c r="E821" s="7" t="str">
        <f>"林瑶"</f>
        <v>林瑶</v>
      </c>
      <c r="F821" s="7" t="str">
        <f t="shared" si="186"/>
        <v>女</v>
      </c>
      <c r="G821" s="7" t="s">
        <v>481</v>
      </c>
      <c r="H821" s="8"/>
    </row>
    <row r="822" ht="25" customHeight="1" spans="1:8">
      <c r="A822" s="6">
        <v>820</v>
      </c>
      <c r="B822" s="7" t="str">
        <f t="shared" si="182"/>
        <v>103</v>
      </c>
      <c r="C822" s="7" t="s">
        <v>663</v>
      </c>
      <c r="D822" s="7" t="s">
        <v>664</v>
      </c>
      <c r="E822" s="7" t="str">
        <f>"张元兴"</f>
        <v>张元兴</v>
      </c>
      <c r="F822" s="7" t="str">
        <f t="shared" ref="F822:F825" si="187">"男"</f>
        <v>男</v>
      </c>
      <c r="G822" s="7" t="s">
        <v>783</v>
      </c>
      <c r="H822" s="8"/>
    </row>
    <row r="823" ht="25" customHeight="1" spans="1:8">
      <c r="A823" s="6">
        <v>821</v>
      </c>
      <c r="B823" s="7" t="str">
        <f t="shared" si="182"/>
        <v>103</v>
      </c>
      <c r="C823" s="7" t="s">
        <v>663</v>
      </c>
      <c r="D823" s="7" t="s">
        <v>664</v>
      </c>
      <c r="E823" s="7" t="str">
        <f>"赵阿慧"</f>
        <v>赵阿慧</v>
      </c>
      <c r="F823" s="7" t="str">
        <f t="shared" ref="F823:F830" si="188">"女"</f>
        <v>女</v>
      </c>
      <c r="G823" s="7" t="s">
        <v>784</v>
      </c>
      <c r="H823" s="8"/>
    </row>
    <row r="824" ht="25" customHeight="1" spans="1:8">
      <c r="A824" s="6">
        <v>822</v>
      </c>
      <c r="B824" s="7" t="str">
        <f t="shared" si="182"/>
        <v>103</v>
      </c>
      <c r="C824" s="7" t="s">
        <v>663</v>
      </c>
      <c r="D824" s="7" t="s">
        <v>664</v>
      </c>
      <c r="E824" s="7" t="str">
        <f>"王堂幸"</f>
        <v>王堂幸</v>
      </c>
      <c r="F824" s="7" t="str">
        <f t="shared" si="187"/>
        <v>男</v>
      </c>
      <c r="G824" s="7" t="s">
        <v>785</v>
      </c>
      <c r="H824" s="8"/>
    </row>
    <row r="825" ht="25" customHeight="1" spans="1:8">
      <c r="A825" s="6">
        <v>823</v>
      </c>
      <c r="B825" s="7" t="str">
        <f t="shared" si="182"/>
        <v>103</v>
      </c>
      <c r="C825" s="7" t="s">
        <v>663</v>
      </c>
      <c r="D825" s="7" t="s">
        <v>664</v>
      </c>
      <c r="E825" s="7" t="str">
        <f>"刘硕文"</f>
        <v>刘硕文</v>
      </c>
      <c r="F825" s="7" t="str">
        <f t="shared" si="187"/>
        <v>男</v>
      </c>
      <c r="G825" s="7" t="s">
        <v>786</v>
      </c>
      <c r="H825" s="8"/>
    </row>
    <row r="826" ht="25" customHeight="1" spans="1:8">
      <c r="A826" s="6">
        <v>824</v>
      </c>
      <c r="B826" s="7" t="str">
        <f t="shared" si="182"/>
        <v>103</v>
      </c>
      <c r="C826" s="7" t="s">
        <v>663</v>
      </c>
      <c r="D826" s="7" t="s">
        <v>664</v>
      </c>
      <c r="E826" s="7" t="str">
        <f>"蔡少芬"</f>
        <v>蔡少芬</v>
      </c>
      <c r="F826" s="7" t="str">
        <f t="shared" si="188"/>
        <v>女</v>
      </c>
      <c r="G826" s="7" t="s">
        <v>787</v>
      </c>
      <c r="H826" s="8"/>
    </row>
    <row r="827" ht="25" customHeight="1" spans="1:8">
      <c r="A827" s="6">
        <v>825</v>
      </c>
      <c r="B827" s="7" t="str">
        <f t="shared" si="182"/>
        <v>103</v>
      </c>
      <c r="C827" s="7" t="s">
        <v>663</v>
      </c>
      <c r="D827" s="7" t="s">
        <v>664</v>
      </c>
      <c r="E827" s="7" t="str">
        <f>"符春萍"</f>
        <v>符春萍</v>
      </c>
      <c r="F827" s="7" t="str">
        <f t="shared" si="188"/>
        <v>女</v>
      </c>
      <c r="G827" s="7" t="s">
        <v>788</v>
      </c>
      <c r="H827" s="8"/>
    </row>
    <row r="828" ht="25" customHeight="1" spans="1:8">
      <c r="A828" s="6">
        <v>826</v>
      </c>
      <c r="B828" s="7" t="str">
        <f t="shared" si="182"/>
        <v>103</v>
      </c>
      <c r="C828" s="7" t="s">
        <v>663</v>
      </c>
      <c r="D828" s="7" t="s">
        <v>664</v>
      </c>
      <c r="E828" s="7" t="str">
        <f>"周亚曼"</f>
        <v>周亚曼</v>
      </c>
      <c r="F828" s="7" t="str">
        <f t="shared" si="188"/>
        <v>女</v>
      </c>
      <c r="G828" s="7" t="s">
        <v>789</v>
      </c>
      <c r="H828" s="8"/>
    </row>
    <row r="829" ht="25" customHeight="1" spans="1:8">
      <c r="A829" s="6">
        <v>827</v>
      </c>
      <c r="B829" s="7" t="str">
        <f t="shared" si="182"/>
        <v>103</v>
      </c>
      <c r="C829" s="7" t="s">
        <v>663</v>
      </c>
      <c r="D829" s="7" t="s">
        <v>664</v>
      </c>
      <c r="E829" s="7" t="str">
        <f>"黄莹仪"</f>
        <v>黄莹仪</v>
      </c>
      <c r="F829" s="7" t="str">
        <f t="shared" si="188"/>
        <v>女</v>
      </c>
      <c r="G829" s="7" t="s">
        <v>790</v>
      </c>
      <c r="H829" s="8"/>
    </row>
    <row r="830" ht="25" customHeight="1" spans="1:8">
      <c r="A830" s="6">
        <v>828</v>
      </c>
      <c r="B830" s="7" t="str">
        <f t="shared" si="182"/>
        <v>103</v>
      </c>
      <c r="C830" s="7" t="s">
        <v>663</v>
      </c>
      <c r="D830" s="7" t="s">
        <v>664</v>
      </c>
      <c r="E830" s="7" t="str">
        <f>"林琳"</f>
        <v>林琳</v>
      </c>
      <c r="F830" s="7" t="str">
        <f t="shared" si="188"/>
        <v>女</v>
      </c>
      <c r="G830" s="7" t="s">
        <v>643</v>
      </c>
      <c r="H830" s="8"/>
    </row>
    <row r="831" ht="25" customHeight="1" spans="1:8">
      <c r="A831" s="6">
        <v>829</v>
      </c>
      <c r="B831" s="7" t="str">
        <f t="shared" si="182"/>
        <v>103</v>
      </c>
      <c r="C831" s="7" t="s">
        <v>663</v>
      </c>
      <c r="D831" s="7" t="s">
        <v>664</v>
      </c>
      <c r="E831" s="7" t="str">
        <f>"陈太洲"</f>
        <v>陈太洲</v>
      </c>
      <c r="F831" s="7" t="str">
        <f t="shared" ref="F831:F838" si="189">"男"</f>
        <v>男</v>
      </c>
      <c r="G831" s="7" t="s">
        <v>791</v>
      </c>
      <c r="H831" s="8"/>
    </row>
    <row r="832" ht="25" customHeight="1" spans="1:8">
      <c r="A832" s="6">
        <v>830</v>
      </c>
      <c r="B832" s="7" t="str">
        <f t="shared" si="182"/>
        <v>103</v>
      </c>
      <c r="C832" s="7" t="s">
        <v>663</v>
      </c>
      <c r="D832" s="7" t="s">
        <v>664</v>
      </c>
      <c r="E832" s="7" t="str">
        <f>"胡霖"</f>
        <v>胡霖</v>
      </c>
      <c r="F832" s="7" t="str">
        <f t="shared" ref="F832:F835" si="190">"女"</f>
        <v>女</v>
      </c>
      <c r="G832" s="7" t="s">
        <v>792</v>
      </c>
      <c r="H832" s="8"/>
    </row>
    <row r="833" ht="25" customHeight="1" spans="1:8">
      <c r="A833" s="6">
        <v>831</v>
      </c>
      <c r="B833" s="7" t="str">
        <f t="shared" si="182"/>
        <v>103</v>
      </c>
      <c r="C833" s="7" t="s">
        <v>663</v>
      </c>
      <c r="D833" s="7" t="s">
        <v>664</v>
      </c>
      <c r="E833" s="7" t="str">
        <f>"夏亚锋"</f>
        <v>夏亚锋</v>
      </c>
      <c r="F833" s="7" t="str">
        <f t="shared" si="189"/>
        <v>男</v>
      </c>
      <c r="G833" s="7" t="s">
        <v>793</v>
      </c>
      <c r="H833" s="8"/>
    </row>
    <row r="834" ht="25" customHeight="1" spans="1:8">
      <c r="A834" s="6">
        <v>832</v>
      </c>
      <c r="B834" s="7" t="str">
        <f t="shared" si="182"/>
        <v>103</v>
      </c>
      <c r="C834" s="7" t="s">
        <v>663</v>
      </c>
      <c r="D834" s="7" t="s">
        <v>664</v>
      </c>
      <c r="E834" s="7" t="str">
        <f>"庄莹"</f>
        <v>庄莹</v>
      </c>
      <c r="F834" s="7" t="str">
        <f t="shared" si="190"/>
        <v>女</v>
      </c>
      <c r="G834" s="7" t="s">
        <v>794</v>
      </c>
      <c r="H834" s="8"/>
    </row>
    <row r="835" ht="25" customHeight="1" spans="1:8">
      <c r="A835" s="6">
        <v>833</v>
      </c>
      <c r="B835" s="7" t="str">
        <f t="shared" si="182"/>
        <v>103</v>
      </c>
      <c r="C835" s="7" t="s">
        <v>663</v>
      </c>
      <c r="D835" s="7" t="s">
        <v>664</v>
      </c>
      <c r="E835" s="7" t="str">
        <f>"王梦欢"</f>
        <v>王梦欢</v>
      </c>
      <c r="F835" s="7" t="str">
        <f t="shared" si="190"/>
        <v>女</v>
      </c>
      <c r="G835" s="7" t="s">
        <v>795</v>
      </c>
      <c r="H835" s="8"/>
    </row>
    <row r="836" ht="25" customHeight="1" spans="1:8">
      <c r="A836" s="6">
        <v>834</v>
      </c>
      <c r="B836" s="7" t="str">
        <f t="shared" si="182"/>
        <v>103</v>
      </c>
      <c r="C836" s="7" t="s">
        <v>663</v>
      </c>
      <c r="D836" s="7" t="s">
        <v>664</v>
      </c>
      <c r="E836" s="7" t="str">
        <f>"王彬"</f>
        <v>王彬</v>
      </c>
      <c r="F836" s="7" t="str">
        <f t="shared" si="189"/>
        <v>男</v>
      </c>
      <c r="G836" s="7" t="s">
        <v>796</v>
      </c>
      <c r="H836" s="8"/>
    </row>
    <row r="837" ht="25" customHeight="1" spans="1:8">
      <c r="A837" s="6">
        <v>835</v>
      </c>
      <c r="B837" s="7" t="str">
        <f t="shared" si="182"/>
        <v>103</v>
      </c>
      <c r="C837" s="7" t="s">
        <v>663</v>
      </c>
      <c r="D837" s="7" t="s">
        <v>664</v>
      </c>
      <c r="E837" s="7" t="str">
        <f>"谢红业"</f>
        <v>谢红业</v>
      </c>
      <c r="F837" s="7" t="str">
        <f t="shared" si="189"/>
        <v>男</v>
      </c>
      <c r="G837" s="7" t="s">
        <v>236</v>
      </c>
      <c r="H837" s="8"/>
    </row>
    <row r="838" ht="25" customHeight="1" spans="1:8">
      <c r="A838" s="6">
        <v>836</v>
      </c>
      <c r="B838" s="7" t="str">
        <f t="shared" si="182"/>
        <v>103</v>
      </c>
      <c r="C838" s="7" t="s">
        <v>663</v>
      </c>
      <c r="D838" s="7" t="s">
        <v>664</v>
      </c>
      <c r="E838" s="7" t="str">
        <f>"文翰"</f>
        <v>文翰</v>
      </c>
      <c r="F838" s="7" t="str">
        <f t="shared" si="189"/>
        <v>男</v>
      </c>
      <c r="G838" s="7" t="s">
        <v>797</v>
      </c>
      <c r="H838" s="8"/>
    </row>
    <row r="839" ht="25" customHeight="1" spans="1:8">
      <c r="A839" s="6">
        <v>837</v>
      </c>
      <c r="B839" s="7" t="str">
        <f t="shared" si="182"/>
        <v>103</v>
      </c>
      <c r="C839" s="7" t="s">
        <v>663</v>
      </c>
      <c r="D839" s="7" t="s">
        <v>664</v>
      </c>
      <c r="E839" s="7" t="str">
        <f>"周莹莹"</f>
        <v>周莹莹</v>
      </c>
      <c r="F839" s="7" t="str">
        <f t="shared" ref="F839:F843" si="191">"女"</f>
        <v>女</v>
      </c>
      <c r="G839" s="7" t="s">
        <v>798</v>
      </c>
      <c r="H839" s="8"/>
    </row>
    <row r="840" ht="25" customHeight="1" spans="1:8">
      <c r="A840" s="6">
        <v>838</v>
      </c>
      <c r="B840" s="7" t="str">
        <f t="shared" si="182"/>
        <v>103</v>
      </c>
      <c r="C840" s="7" t="s">
        <v>663</v>
      </c>
      <c r="D840" s="7" t="s">
        <v>664</v>
      </c>
      <c r="E840" s="7" t="str">
        <f>"周霞"</f>
        <v>周霞</v>
      </c>
      <c r="F840" s="7" t="str">
        <f t="shared" si="191"/>
        <v>女</v>
      </c>
      <c r="G840" s="7" t="s">
        <v>799</v>
      </c>
      <c r="H840" s="8"/>
    </row>
    <row r="841" ht="25" customHeight="1" spans="1:8">
      <c r="A841" s="6">
        <v>839</v>
      </c>
      <c r="B841" s="7" t="str">
        <f t="shared" si="182"/>
        <v>103</v>
      </c>
      <c r="C841" s="7" t="s">
        <v>663</v>
      </c>
      <c r="D841" s="7" t="s">
        <v>664</v>
      </c>
      <c r="E841" s="7" t="str">
        <f>"林国韵"</f>
        <v>林国韵</v>
      </c>
      <c r="F841" s="7" t="str">
        <f t="shared" si="191"/>
        <v>女</v>
      </c>
      <c r="G841" s="7" t="s">
        <v>800</v>
      </c>
      <c r="H841" s="8"/>
    </row>
    <row r="842" ht="25" customHeight="1" spans="1:8">
      <c r="A842" s="6">
        <v>840</v>
      </c>
      <c r="B842" s="7" t="str">
        <f t="shared" si="182"/>
        <v>103</v>
      </c>
      <c r="C842" s="7" t="s">
        <v>663</v>
      </c>
      <c r="D842" s="7" t="s">
        <v>664</v>
      </c>
      <c r="E842" s="7" t="str">
        <f>"韩诗"</f>
        <v>韩诗</v>
      </c>
      <c r="F842" s="7" t="str">
        <f t="shared" si="191"/>
        <v>女</v>
      </c>
      <c r="G842" s="7" t="s">
        <v>801</v>
      </c>
      <c r="H842" s="8"/>
    </row>
    <row r="843" ht="25" customHeight="1" spans="1:8">
      <c r="A843" s="6">
        <v>841</v>
      </c>
      <c r="B843" s="7" t="str">
        <f t="shared" si="182"/>
        <v>103</v>
      </c>
      <c r="C843" s="7" t="s">
        <v>663</v>
      </c>
      <c r="D843" s="7" t="s">
        <v>664</v>
      </c>
      <c r="E843" s="7" t="str">
        <f>"许嫔"</f>
        <v>许嫔</v>
      </c>
      <c r="F843" s="7" t="str">
        <f t="shared" si="191"/>
        <v>女</v>
      </c>
      <c r="G843" s="7" t="s">
        <v>802</v>
      </c>
      <c r="H843" s="8"/>
    </row>
    <row r="844" ht="25" customHeight="1" spans="1:8">
      <c r="A844" s="6">
        <v>842</v>
      </c>
      <c r="B844" s="7" t="str">
        <f t="shared" si="182"/>
        <v>103</v>
      </c>
      <c r="C844" s="7" t="s">
        <v>663</v>
      </c>
      <c r="D844" s="7" t="s">
        <v>664</v>
      </c>
      <c r="E844" s="7" t="str">
        <f>"李大通"</f>
        <v>李大通</v>
      </c>
      <c r="F844" s="7" t="str">
        <f t="shared" ref="F844:F852" si="192">"男"</f>
        <v>男</v>
      </c>
      <c r="G844" s="7" t="s">
        <v>803</v>
      </c>
      <c r="H844" s="8"/>
    </row>
    <row r="845" ht="25" customHeight="1" spans="1:8">
      <c r="A845" s="6">
        <v>843</v>
      </c>
      <c r="B845" s="7" t="str">
        <f t="shared" si="182"/>
        <v>103</v>
      </c>
      <c r="C845" s="7" t="s">
        <v>663</v>
      </c>
      <c r="D845" s="7" t="s">
        <v>664</v>
      </c>
      <c r="E845" s="7" t="str">
        <f>"陈美丹"</f>
        <v>陈美丹</v>
      </c>
      <c r="F845" s="7" t="str">
        <f>"女"</f>
        <v>女</v>
      </c>
      <c r="G845" s="7" t="s">
        <v>804</v>
      </c>
      <c r="H845" s="8"/>
    </row>
    <row r="846" ht="25" customHeight="1" spans="1:8">
      <c r="A846" s="6">
        <v>844</v>
      </c>
      <c r="B846" s="7" t="str">
        <f t="shared" si="182"/>
        <v>103</v>
      </c>
      <c r="C846" s="7" t="s">
        <v>663</v>
      </c>
      <c r="D846" s="7" t="s">
        <v>664</v>
      </c>
      <c r="E846" s="7" t="str">
        <f>"陈文云"</f>
        <v>陈文云</v>
      </c>
      <c r="F846" s="7" t="str">
        <f>"女"</f>
        <v>女</v>
      </c>
      <c r="G846" s="7" t="s">
        <v>805</v>
      </c>
      <c r="H846" s="8"/>
    </row>
    <row r="847" ht="25" customHeight="1" spans="1:8">
      <c r="A847" s="6">
        <v>845</v>
      </c>
      <c r="B847" s="7" t="str">
        <f t="shared" si="182"/>
        <v>103</v>
      </c>
      <c r="C847" s="7" t="s">
        <v>663</v>
      </c>
      <c r="D847" s="7" t="s">
        <v>664</v>
      </c>
      <c r="E847" s="7" t="str">
        <f>"张鹏"</f>
        <v>张鹏</v>
      </c>
      <c r="F847" s="7" t="str">
        <f t="shared" si="192"/>
        <v>男</v>
      </c>
      <c r="G847" s="7" t="s">
        <v>806</v>
      </c>
      <c r="H847" s="8"/>
    </row>
    <row r="848" ht="25" customHeight="1" spans="1:8">
      <c r="A848" s="6">
        <v>846</v>
      </c>
      <c r="B848" s="7" t="str">
        <f t="shared" si="182"/>
        <v>103</v>
      </c>
      <c r="C848" s="7" t="s">
        <v>663</v>
      </c>
      <c r="D848" s="7" t="s">
        <v>664</v>
      </c>
      <c r="E848" s="7" t="str">
        <f>"李智诚"</f>
        <v>李智诚</v>
      </c>
      <c r="F848" s="7" t="str">
        <f t="shared" si="192"/>
        <v>男</v>
      </c>
      <c r="G848" s="7" t="s">
        <v>807</v>
      </c>
      <c r="H848" s="8"/>
    </row>
    <row r="849" ht="25" customHeight="1" spans="1:8">
      <c r="A849" s="6">
        <v>847</v>
      </c>
      <c r="B849" s="7" t="str">
        <f t="shared" si="182"/>
        <v>103</v>
      </c>
      <c r="C849" s="7" t="s">
        <v>663</v>
      </c>
      <c r="D849" s="7" t="s">
        <v>664</v>
      </c>
      <c r="E849" s="7" t="str">
        <f>"陈耀宇"</f>
        <v>陈耀宇</v>
      </c>
      <c r="F849" s="7" t="str">
        <f t="shared" si="192"/>
        <v>男</v>
      </c>
      <c r="G849" s="7" t="s">
        <v>808</v>
      </c>
      <c r="H849" s="8"/>
    </row>
    <row r="850" ht="25" customHeight="1" spans="1:8">
      <c r="A850" s="6">
        <v>848</v>
      </c>
      <c r="B850" s="7" t="str">
        <f t="shared" si="182"/>
        <v>103</v>
      </c>
      <c r="C850" s="7" t="s">
        <v>663</v>
      </c>
      <c r="D850" s="7" t="s">
        <v>664</v>
      </c>
      <c r="E850" s="7" t="str">
        <f>"罗辉"</f>
        <v>罗辉</v>
      </c>
      <c r="F850" s="7" t="str">
        <f t="shared" si="192"/>
        <v>男</v>
      </c>
      <c r="G850" s="7" t="s">
        <v>809</v>
      </c>
      <c r="H850" s="8"/>
    </row>
    <row r="851" ht="25" customHeight="1" spans="1:8">
      <c r="A851" s="6">
        <v>849</v>
      </c>
      <c r="B851" s="7" t="str">
        <f t="shared" si="182"/>
        <v>103</v>
      </c>
      <c r="C851" s="7" t="s">
        <v>663</v>
      </c>
      <c r="D851" s="7" t="s">
        <v>664</v>
      </c>
      <c r="E851" s="7" t="str">
        <f>"钟少威"</f>
        <v>钟少威</v>
      </c>
      <c r="F851" s="7" t="str">
        <f t="shared" si="192"/>
        <v>男</v>
      </c>
      <c r="G851" s="7" t="s">
        <v>810</v>
      </c>
      <c r="H851" s="8"/>
    </row>
    <row r="852" ht="25" customHeight="1" spans="1:8">
      <c r="A852" s="6">
        <v>850</v>
      </c>
      <c r="B852" s="7" t="str">
        <f t="shared" si="182"/>
        <v>103</v>
      </c>
      <c r="C852" s="7" t="s">
        <v>663</v>
      </c>
      <c r="D852" s="7" t="s">
        <v>664</v>
      </c>
      <c r="E852" s="7" t="str">
        <f>"邱柏霖"</f>
        <v>邱柏霖</v>
      </c>
      <c r="F852" s="7" t="str">
        <f t="shared" si="192"/>
        <v>男</v>
      </c>
      <c r="G852" s="7" t="s">
        <v>811</v>
      </c>
      <c r="H852" s="8"/>
    </row>
    <row r="853" ht="25" customHeight="1" spans="1:8">
      <c r="A853" s="6">
        <v>851</v>
      </c>
      <c r="B853" s="7" t="str">
        <f t="shared" si="182"/>
        <v>103</v>
      </c>
      <c r="C853" s="7" t="s">
        <v>663</v>
      </c>
      <c r="D853" s="7" t="s">
        <v>664</v>
      </c>
      <c r="E853" s="7" t="str">
        <f>"单亚婧"</f>
        <v>单亚婧</v>
      </c>
      <c r="F853" s="7" t="str">
        <f>"女"</f>
        <v>女</v>
      </c>
      <c r="G853" s="7" t="s">
        <v>812</v>
      </c>
      <c r="H853" s="8"/>
    </row>
    <row r="854" ht="25" customHeight="1" spans="1:8">
      <c r="A854" s="6">
        <v>852</v>
      </c>
      <c r="B854" s="7" t="str">
        <f t="shared" si="182"/>
        <v>103</v>
      </c>
      <c r="C854" s="7" t="s">
        <v>663</v>
      </c>
      <c r="D854" s="7" t="s">
        <v>664</v>
      </c>
      <c r="E854" s="7" t="str">
        <f>"罗键"</f>
        <v>罗键</v>
      </c>
      <c r="F854" s="7" t="str">
        <f t="shared" ref="F854:F859" si="193">"男"</f>
        <v>男</v>
      </c>
      <c r="G854" s="7" t="s">
        <v>813</v>
      </c>
      <c r="H854" s="8"/>
    </row>
    <row r="855" ht="25" customHeight="1" spans="1:8">
      <c r="A855" s="6">
        <v>853</v>
      </c>
      <c r="B855" s="7" t="str">
        <f t="shared" si="182"/>
        <v>103</v>
      </c>
      <c r="C855" s="7" t="s">
        <v>663</v>
      </c>
      <c r="D855" s="7" t="s">
        <v>664</v>
      </c>
      <c r="E855" s="7" t="str">
        <f>"余碧莹"</f>
        <v>余碧莹</v>
      </c>
      <c r="F855" s="7" t="str">
        <f>"女"</f>
        <v>女</v>
      </c>
      <c r="G855" s="7" t="s">
        <v>114</v>
      </c>
      <c r="H855" s="8"/>
    </row>
    <row r="856" ht="25" customHeight="1" spans="1:8">
      <c r="A856" s="6">
        <v>854</v>
      </c>
      <c r="B856" s="7" t="str">
        <f t="shared" si="182"/>
        <v>103</v>
      </c>
      <c r="C856" s="7" t="s">
        <v>663</v>
      </c>
      <c r="D856" s="7" t="s">
        <v>664</v>
      </c>
      <c r="E856" s="7" t="str">
        <f>"钟开健"</f>
        <v>钟开健</v>
      </c>
      <c r="F856" s="7" t="str">
        <f t="shared" si="193"/>
        <v>男</v>
      </c>
      <c r="G856" s="7" t="s">
        <v>814</v>
      </c>
      <c r="H856" s="8"/>
    </row>
    <row r="857" ht="25" customHeight="1" spans="1:8">
      <c r="A857" s="6">
        <v>855</v>
      </c>
      <c r="B857" s="7" t="str">
        <f t="shared" si="182"/>
        <v>103</v>
      </c>
      <c r="C857" s="7" t="s">
        <v>663</v>
      </c>
      <c r="D857" s="7" t="s">
        <v>664</v>
      </c>
      <c r="E857" s="7" t="str">
        <f>"周忠喜"</f>
        <v>周忠喜</v>
      </c>
      <c r="F857" s="7" t="str">
        <f t="shared" si="193"/>
        <v>男</v>
      </c>
      <c r="G857" s="7" t="s">
        <v>815</v>
      </c>
      <c r="H857" s="8"/>
    </row>
    <row r="858" ht="25" customHeight="1" spans="1:8">
      <c r="A858" s="6">
        <v>856</v>
      </c>
      <c r="B858" s="7" t="str">
        <f t="shared" si="182"/>
        <v>103</v>
      </c>
      <c r="C858" s="7" t="s">
        <v>663</v>
      </c>
      <c r="D858" s="7" t="s">
        <v>664</v>
      </c>
      <c r="E858" s="7" t="str">
        <f>"夏高龙"</f>
        <v>夏高龙</v>
      </c>
      <c r="F858" s="7" t="str">
        <f t="shared" si="193"/>
        <v>男</v>
      </c>
      <c r="G858" s="7" t="s">
        <v>816</v>
      </c>
      <c r="H858" s="8"/>
    </row>
    <row r="859" ht="25" customHeight="1" spans="1:8">
      <c r="A859" s="6">
        <v>857</v>
      </c>
      <c r="B859" s="7" t="str">
        <f t="shared" si="182"/>
        <v>103</v>
      </c>
      <c r="C859" s="7" t="s">
        <v>663</v>
      </c>
      <c r="D859" s="7" t="s">
        <v>664</v>
      </c>
      <c r="E859" s="7" t="str">
        <f>"符大喜"</f>
        <v>符大喜</v>
      </c>
      <c r="F859" s="7" t="str">
        <f t="shared" si="193"/>
        <v>男</v>
      </c>
      <c r="G859" s="7" t="s">
        <v>15</v>
      </c>
      <c r="H859" s="8"/>
    </row>
    <row r="860" ht="25" customHeight="1" spans="1:8">
      <c r="A860" s="6">
        <v>858</v>
      </c>
      <c r="B860" s="7" t="str">
        <f t="shared" si="182"/>
        <v>103</v>
      </c>
      <c r="C860" s="7" t="s">
        <v>663</v>
      </c>
      <c r="D860" s="7" t="s">
        <v>664</v>
      </c>
      <c r="E860" s="7" t="str">
        <f>"王珊珊"</f>
        <v>王珊珊</v>
      </c>
      <c r="F860" s="7" t="str">
        <f t="shared" ref="F860:F863" si="194">"女"</f>
        <v>女</v>
      </c>
      <c r="G860" s="7" t="s">
        <v>330</v>
      </c>
      <c r="H860" s="8"/>
    </row>
    <row r="861" ht="25" customHeight="1" spans="1:8">
      <c r="A861" s="6">
        <v>859</v>
      </c>
      <c r="B861" s="7" t="str">
        <f t="shared" si="182"/>
        <v>103</v>
      </c>
      <c r="C861" s="7" t="s">
        <v>663</v>
      </c>
      <c r="D861" s="7" t="s">
        <v>664</v>
      </c>
      <c r="E861" s="7" t="str">
        <f>"江蓓蓓"</f>
        <v>江蓓蓓</v>
      </c>
      <c r="F861" s="7" t="str">
        <f t="shared" si="194"/>
        <v>女</v>
      </c>
      <c r="G861" s="7" t="s">
        <v>817</v>
      </c>
      <c r="H861" s="8"/>
    </row>
    <row r="862" ht="25" customHeight="1" spans="1:8">
      <c r="A862" s="6">
        <v>860</v>
      </c>
      <c r="B862" s="7" t="str">
        <f t="shared" si="182"/>
        <v>103</v>
      </c>
      <c r="C862" s="7" t="s">
        <v>663</v>
      </c>
      <c r="D862" s="7" t="s">
        <v>664</v>
      </c>
      <c r="E862" s="7" t="str">
        <f>"黄晓华"</f>
        <v>黄晓华</v>
      </c>
      <c r="F862" s="7" t="str">
        <f t="shared" ref="F862:F865" si="195">"男"</f>
        <v>男</v>
      </c>
      <c r="G862" s="7" t="s">
        <v>818</v>
      </c>
      <c r="H862" s="8"/>
    </row>
    <row r="863" ht="25" customHeight="1" spans="1:8">
      <c r="A863" s="6">
        <v>861</v>
      </c>
      <c r="B863" s="7" t="str">
        <f t="shared" si="182"/>
        <v>103</v>
      </c>
      <c r="C863" s="7" t="s">
        <v>663</v>
      </c>
      <c r="D863" s="7" t="s">
        <v>664</v>
      </c>
      <c r="E863" s="7" t="str">
        <f>"黄顺莹"</f>
        <v>黄顺莹</v>
      </c>
      <c r="F863" s="7" t="str">
        <f t="shared" si="194"/>
        <v>女</v>
      </c>
      <c r="G863" s="7" t="s">
        <v>819</v>
      </c>
      <c r="H863" s="8"/>
    </row>
    <row r="864" ht="25" customHeight="1" spans="1:8">
      <c r="A864" s="6">
        <v>862</v>
      </c>
      <c r="B864" s="7" t="str">
        <f t="shared" si="182"/>
        <v>103</v>
      </c>
      <c r="C864" s="7" t="s">
        <v>663</v>
      </c>
      <c r="D864" s="7" t="s">
        <v>664</v>
      </c>
      <c r="E864" s="7" t="str">
        <f>"肖传卿"</f>
        <v>肖传卿</v>
      </c>
      <c r="F864" s="7" t="str">
        <f t="shared" si="195"/>
        <v>男</v>
      </c>
      <c r="G864" s="7" t="s">
        <v>757</v>
      </c>
      <c r="H864" s="8"/>
    </row>
    <row r="865" ht="25" customHeight="1" spans="1:8">
      <c r="A865" s="6">
        <v>863</v>
      </c>
      <c r="B865" s="7" t="str">
        <f t="shared" si="182"/>
        <v>103</v>
      </c>
      <c r="C865" s="7" t="s">
        <v>663</v>
      </c>
      <c r="D865" s="7" t="s">
        <v>664</v>
      </c>
      <c r="E865" s="7" t="str">
        <f>"钟靖旺"</f>
        <v>钟靖旺</v>
      </c>
      <c r="F865" s="7" t="str">
        <f t="shared" si="195"/>
        <v>男</v>
      </c>
      <c r="G865" s="7" t="s">
        <v>820</v>
      </c>
      <c r="H865" s="8"/>
    </row>
    <row r="866" ht="25" customHeight="1" spans="1:8">
      <c r="A866" s="6">
        <v>864</v>
      </c>
      <c r="B866" s="7" t="str">
        <f t="shared" si="182"/>
        <v>103</v>
      </c>
      <c r="C866" s="7" t="s">
        <v>663</v>
      </c>
      <c r="D866" s="7" t="s">
        <v>664</v>
      </c>
      <c r="E866" s="7" t="str">
        <f>"吴宣铼"</f>
        <v>吴宣铼</v>
      </c>
      <c r="F866" s="7" t="str">
        <f t="shared" ref="F866:F868" si="196">"女"</f>
        <v>女</v>
      </c>
      <c r="G866" s="7" t="s">
        <v>821</v>
      </c>
      <c r="H866" s="8"/>
    </row>
    <row r="867" ht="25" customHeight="1" spans="1:8">
      <c r="A867" s="6">
        <v>865</v>
      </c>
      <c r="B867" s="7" t="str">
        <f t="shared" si="182"/>
        <v>103</v>
      </c>
      <c r="C867" s="7" t="s">
        <v>663</v>
      </c>
      <c r="D867" s="7" t="s">
        <v>664</v>
      </c>
      <c r="E867" s="7" t="str">
        <f>"蔡冰冰"</f>
        <v>蔡冰冰</v>
      </c>
      <c r="F867" s="7" t="str">
        <f t="shared" si="196"/>
        <v>女</v>
      </c>
      <c r="G867" s="7" t="s">
        <v>822</v>
      </c>
      <c r="H867" s="8"/>
    </row>
    <row r="868" ht="25" customHeight="1" spans="1:8">
      <c r="A868" s="6">
        <v>866</v>
      </c>
      <c r="B868" s="7" t="str">
        <f t="shared" si="182"/>
        <v>103</v>
      </c>
      <c r="C868" s="7" t="s">
        <v>663</v>
      </c>
      <c r="D868" s="7" t="s">
        <v>664</v>
      </c>
      <c r="E868" s="7" t="str">
        <f>"赵凤花"</f>
        <v>赵凤花</v>
      </c>
      <c r="F868" s="7" t="str">
        <f t="shared" si="196"/>
        <v>女</v>
      </c>
      <c r="G868" s="7" t="s">
        <v>823</v>
      </c>
      <c r="H868" s="8"/>
    </row>
    <row r="869" ht="25" customHeight="1" spans="1:8">
      <c r="A869" s="6">
        <v>867</v>
      </c>
      <c r="B869" s="7" t="str">
        <f t="shared" si="182"/>
        <v>103</v>
      </c>
      <c r="C869" s="7" t="s">
        <v>663</v>
      </c>
      <c r="D869" s="7" t="s">
        <v>664</v>
      </c>
      <c r="E869" s="7" t="str">
        <f>"梁哲浩"</f>
        <v>梁哲浩</v>
      </c>
      <c r="F869" s="7" t="str">
        <f>"男"</f>
        <v>男</v>
      </c>
      <c r="G869" s="7" t="s">
        <v>824</v>
      </c>
      <c r="H869" s="8"/>
    </row>
    <row r="870" ht="25" customHeight="1" spans="1:8">
      <c r="A870" s="6">
        <v>868</v>
      </c>
      <c r="B870" s="7" t="str">
        <f t="shared" si="182"/>
        <v>103</v>
      </c>
      <c r="C870" s="7" t="s">
        <v>663</v>
      </c>
      <c r="D870" s="7" t="s">
        <v>664</v>
      </c>
      <c r="E870" s="7" t="str">
        <f>"林影"</f>
        <v>林影</v>
      </c>
      <c r="F870" s="7" t="str">
        <f t="shared" ref="F870:F877" si="197">"女"</f>
        <v>女</v>
      </c>
      <c r="G870" s="7" t="s">
        <v>825</v>
      </c>
      <c r="H870" s="8"/>
    </row>
    <row r="871" ht="25" customHeight="1" spans="1:8">
      <c r="A871" s="6">
        <v>869</v>
      </c>
      <c r="B871" s="7" t="str">
        <f t="shared" si="182"/>
        <v>103</v>
      </c>
      <c r="C871" s="7" t="s">
        <v>663</v>
      </c>
      <c r="D871" s="7" t="s">
        <v>664</v>
      </c>
      <c r="E871" s="7" t="str">
        <f>"毕玲玲"</f>
        <v>毕玲玲</v>
      </c>
      <c r="F871" s="7" t="str">
        <f t="shared" si="197"/>
        <v>女</v>
      </c>
      <c r="G871" s="7" t="s">
        <v>826</v>
      </c>
      <c r="H871" s="8"/>
    </row>
    <row r="872" ht="25" customHeight="1" spans="1:8">
      <c r="A872" s="6">
        <v>870</v>
      </c>
      <c r="B872" s="7" t="str">
        <f t="shared" ref="B872:B935" si="198">"103"</f>
        <v>103</v>
      </c>
      <c r="C872" s="7" t="s">
        <v>663</v>
      </c>
      <c r="D872" s="7" t="s">
        <v>664</v>
      </c>
      <c r="E872" s="7" t="str">
        <f>"吴丽虹"</f>
        <v>吴丽虹</v>
      </c>
      <c r="F872" s="7" t="str">
        <f t="shared" si="197"/>
        <v>女</v>
      </c>
      <c r="G872" s="7" t="s">
        <v>827</v>
      </c>
      <c r="H872" s="8"/>
    </row>
    <row r="873" ht="25" customHeight="1" spans="1:8">
      <c r="A873" s="6">
        <v>871</v>
      </c>
      <c r="B873" s="7" t="str">
        <f t="shared" si="198"/>
        <v>103</v>
      </c>
      <c r="C873" s="7" t="s">
        <v>663</v>
      </c>
      <c r="D873" s="7" t="s">
        <v>664</v>
      </c>
      <c r="E873" s="7" t="str">
        <f>"陈昕"</f>
        <v>陈昕</v>
      </c>
      <c r="F873" s="7" t="str">
        <f t="shared" si="197"/>
        <v>女</v>
      </c>
      <c r="G873" s="7" t="s">
        <v>828</v>
      </c>
      <c r="H873" s="8"/>
    </row>
    <row r="874" ht="25" customHeight="1" spans="1:8">
      <c r="A874" s="6">
        <v>872</v>
      </c>
      <c r="B874" s="7" t="str">
        <f t="shared" si="198"/>
        <v>103</v>
      </c>
      <c r="C874" s="7" t="s">
        <v>663</v>
      </c>
      <c r="D874" s="7" t="s">
        <v>664</v>
      </c>
      <c r="E874" s="7" t="str">
        <f>"罗孔卯"</f>
        <v>罗孔卯</v>
      </c>
      <c r="F874" s="7" t="str">
        <f t="shared" si="197"/>
        <v>女</v>
      </c>
      <c r="G874" s="7" t="s">
        <v>829</v>
      </c>
      <c r="H874" s="8"/>
    </row>
    <row r="875" ht="25" customHeight="1" spans="1:8">
      <c r="A875" s="6">
        <v>873</v>
      </c>
      <c r="B875" s="7" t="str">
        <f t="shared" si="198"/>
        <v>103</v>
      </c>
      <c r="C875" s="7" t="s">
        <v>663</v>
      </c>
      <c r="D875" s="7" t="s">
        <v>664</v>
      </c>
      <c r="E875" s="7" t="str">
        <f>"黎玲玲"</f>
        <v>黎玲玲</v>
      </c>
      <c r="F875" s="7" t="str">
        <f t="shared" si="197"/>
        <v>女</v>
      </c>
      <c r="G875" s="7" t="s">
        <v>830</v>
      </c>
      <c r="H875" s="8"/>
    </row>
    <row r="876" ht="25" customHeight="1" spans="1:8">
      <c r="A876" s="6">
        <v>874</v>
      </c>
      <c r="B876" s="7" t="str">
        <f t="shared" si="198"/>
        <v>103</v>
      </c>
      <c r="C876" s="7" t="s">
        <v>663</v>
      </c>
      <c r="D876" s="7" t="s">
        <v>664</v>
      </c>
      <c r="E876" s="7" t="str">
        <f>"林碧云"</f>
        <v>林碧云</v>
      </c>
      <c r="F876" s="7" t="str">
        <f t="shared" si="197"/>
        <v>女</v>
      </c>
      <c r="G876" s="7" t="s">
        <v>831</v>
      </c>
      <c r="H876" s="8"/>
    </row>
    <row r="877" ht="25" customHeight="1" spans="1:8">
      <c r="A877" s="6">
        <v>875</v>
      </c>
      <c r="B877" s="7" t="str">
        <f t="shared" si="198"/>
        <v>103</v>
      </c>
      <c r="C877" s="7" t="s">
        <v>663</v>
      </c>
      <c r="D877" s="7" t="s">
        <v>664</v>
      </c>
      <c r="E877" s="7" t="str">
        <f>"张旭秀"</f>
        <v>张旭秀</v>
      </c>
      <c r="F877" s="7" t="str">
        <f t="shared" si="197"/>
        <v>女</v>
      </c>
      <c r="G877" s="7" t="s">
        <v>402</v>
      </c>
      <c r="H877" s="8"/>
    </row>
    <row r="878" ht="25" customHeight="1" spans="1:8">
      <c r="A878" s="6">
        <v>876</v>
      </c>
      <c r="B878" s="7" t="str">
        <f t="shared" si="198"/>
        <v>103</v>
      </c>
      <c r="C878" s="7" t="s">
        <v>663</v>
      </c>
      <c r="D878" s="7" t="s">
        <v>664</v>
      </c>
      <c r="E878" s="7" t="str">
        <f>"唐永国"</f>
        <v>唐永国</v>
      </c>
      <c r="F878" s="7" t="str">
        <f t="shared" ref="F878:F882" si="199">"男"</f>
        <v>男</v>
      </c>
      <c r="G878" s="7" t="s">
        <v>832</v>
      </c>
      <c r="H878" s="8"/>
    </row>
    <row r="879" ht="25" customHeight="1" spans="1:8">
      <c r="A879" s="6">
        <v>877</v>
      </c>
      <c r="B879" s="7" t="str">
        <f t="shared" si="198"/>
        <v>103</v>
      </c>
      <c r="C879" s="7" t="s">
        <v>663</v>
      </c>
      <c r="D879" s="7" t="s">
        <v>664</v>
      </c>
      <c r="E879" s="7" t="str">
        <f>"陈言馨"</f>
        <v>陈言馨</v>
      </c>
      <c r="F879" s="7" t="str">
        <f t="shared" ref="F879:F884" si="200">"女"</f>
        <v>女</v>
      </c>
      <c r="G879" s="7" t="s">
        <v>654</v>
      </c>
      <c r="H879" s="8"/>
    </row>
    <row r="880" ht="25" customHeight="1" spans="1:8">
      <c r="A880" s="6">
        <v>878</v>
      </c>
      <c r="B880" s="7" t="str">
        <f t="shared" si="198"/>
        <v>103</v>
      </c>
      <c r="C880" s="7" t="s">
        <v>663</v>
      </c>
      <c r="D880" s="7" t="s">
        <v>664</v>
      </c>
      <c r="E880" s="7" t="str">
        <f>"陈太萍"</f>
        <v>陈太萍</v>
      </c>
      <c r="F880" s="7" t="str">
        <f t="shared" si="200"/>
        <v>女</v>
      </c>
      <c r="G880" s="7" t="s">
        <v>833</v>
      </c>
      <c r="H880" s="8"/>
    </row>
    <row r="881" ht="25" customHeight="1" spans="1:8">
      <c r="A881" s="6">
        <v>879</v>
      </c>
      <c r="B881" s="7" t="str">
        <f t="shared" si="198"/>
        <v>103</v>
      </c>
      <c r="C881" s="7" t="s">
        <v>663</v>
      </c>
      <c r="D881" s="7" t="s">
        <v>664</v>
      </c>
      <c r="E881" s="7" t="str">
        <f>"羊儒林"</f>
        <v>羊儒林</v>
      </c>
      <c r="F881" s="7" t="str">
        <f t="shared" si="199"/>
        <v>男</v>
      </c>
      <c r="G881" s="7" t="s">
        <v>834</v>
      </c>
      <c r="H881" s="8"/>
    </row>
    <row r="882" ht="25" customHeight="1" spans="1:8">
      <c r="A882" s="6">
        <v>880</v>
      </c>
      <c r="B882" s="7" t="str">
        <f t="shared" si="198"/>
        <v>103</v>
      </c>
      <c r="C882" s="7" t="s">
        <v>663</v>
      </c>
      <c r="D882" s="7" t="s">
        <v>664</v>
      </c>
      <c r="E882" s="7" t="str">
        <f>"黄子帅"</f>
        <v>黄子帅</v>
      </c>
      <c r="F882" s="7" t="str">
        <f t="shared" si="199"/>
        <v>男</v>
      </c>
      <c r="G882" s="7" t="s">
        <v>835</v>
      </c>
      <c r="H882" s="8"/>
    </row>
    <row r="883" ht="25" customHeight="1" spans="1:8">
      <c r="A883" s="6">
        <v>881</v>
      </c>
      <c r="B883" s="7" t="str">
        <f t="shared" si="198"/>
        <v>103</v>
      </c>
      <c r="C883" s="7" t="s">
        <v>663</v>
      </c>
      <c r="D883" s="7" t="s">
        <v>664</v>
      </c>
      <c r="E883" s="7" t="str">
        <f>"雷舒燕"</f>
        <v>雷舒燕</v>
      </c>
      <c r="F883" s="7" t="str">
        <f t="shared" si="200"/>
        <v>女</v>
      </c>
      <c r="G883" s="7" t="s">
        <v>836</v>
      </c>
      <c r="H883" s="8"/>
    </row>
    <row r="884" ht="25" customHeight="1" spans="1:8">
      <c r="A884" s="6">
        <v>882</v>
      </c>
      <c r="B884" s="7" t="str">
        <f t="shared" si="198"/>
        <v>103</v>
      </c>
      <c r="C884" s="7" t="s">
        <v>663</v>
      </c>
      <c r="D884" s="7" t="s">
        <v>664</v>
      </c>
      <c r="E884" s="7" t="str">
        <f>"邢迎"</f>
        <v>邢迎</v>
      </c>
      <c r="F884" s="7" t="str">
        <f t="shared" si="200"/>
        <v>女</v>
      </c>
      <c r="G884" s="7" t="s">
        <v>837</v>
      </c>
      <c r="H884" s="8"/>
    </row>
    <row r="885" ht="25" customHeight="1" spans="1:8">
      <c r="A885" s="6">
        <v>883</v>
      </c>
      <c r="B885" s="7" t="str">
        <f t="shared" si="198"/>
        <v>103</v>
      </c>
      <c r="C885" s="7" t="s">
        <v>663</v>
      </c>
      <c r="D885" s="7" t="s">
        <v>664</v>
      </c>
      <c r="E885" s="7" t="str">
        <f>"陈银"</f>
        <v>陈银</v>
      </c>
      <c r="F885" s="7" t="str">
        <f t="shared" ref="F885:F890" si="201">"男"</f>
        <v>男</v>
      </c>
      <c r="G885" s="7" t="s">
        <v>838</v>
      </c>
      <c r="H885" s="8"/>
    </row>
    <row r="886" ht="25" customHeight="1" spans="1:8">
      <c r="A886" s="6">
        <v>884</v>
      </c>
      <c r="B886" s="7" t="str">
        <f t="shared" si="198"/>
        <v>103</v>
      </c>
      <c r="C886" s="7" t="s">
        <v>663</v>
      </c>
      <c r="D886" s="7" t="s">
        <v>664</v>
      </c>
      <c r="E886" s="7" t="str">
        <f>"吴小露"</f>
        <v>吴小露</v>
      </c>
      <c r="F886" s="7" t="str">
        <f t="shared" ref="F886:F889" si="202">"女"</f>
        <v>女</v>
      </c>
      <c r="G886" s="7" t="s">
        <v>839</v>
      </c>
      <c r="H886" s="8"/>
    </row>
    <row r="887" ht="25" customHeight="1" spans="1:8">
      <c r="A887" s="6">
        <v>885</v>
      </c>
      <c r="B887" s="7" t="str">
        <f t="shared" si="198"/>
        <v>103</v>
      </c>
      <c r="C887" s="7" t="s">
        <v>663</v>
      </c>
      <c r="D887" s="7" t="s">
        <v>664</v>
      </c>
      <c r="E887" s="7" t="str">
        <f>"陈玮"</f>
        <v>陈玮</v>
      </c>
      <c r="F887" s="7" t="str">
        <f t="shared" si="202"/>
        <v>女</v>
      </c>
      <c r="G887" s="7" t="s">
        <v>840</v>
      </c>
      <c r="H887" s="8"/>
    </row>
    <row r="888" ht="25" customHeight="1" spans="1:8">
      <c r="A888" s="6">
        <v>886</v>
      </c>
      <c r="B888" s="7" t="str">
        <f t="shared" si="198"/>
        <v>103</v>
      </c>
      <c r="C888" s="7" t="s">
        <v>663</v>
      </c>
      <c r="D888" s="7" t="s">
        <v>664</v>
      </c>
      <c r="E888" s="7" t="str">
        <f>"李聪"</f>
        <v>李聪</v>
      </c>
      <c r="F888" s="7" t="str">
        <f t="shared" si="201"/>
        <v>男</v>
      </c>
      <c r="G888" s="7" t="s">
        <v>86</v>
      </c>
      <c r="H888" s="8"/>
    </row>
    <row r="889" ht="25" customHeight="1" spans="1:8">
      <c r="A889" s="6">
        <v>887</v>
      </c>
      <c r="B889" s="7" t="str">
        <f t="shared" si="198"/>
        <v>103</v>
      </c>
      <c r="C889" s="7" t="s">
        <v>663</v>
      </c>
      <c r="D889" s="7" t="s">
        <v>664</v>
      </c>
      <c r="E889" s="7" t="str">
        <f>"陈玉珊"</f>
        <v>陈玉珊</v>
      </c>
      <c r="F889" s="7" t="str">
        <f t="shared" si="202"/>
        <v>女</v>
      </c>
      <c r="G889" s="7" t="s">
        <v>841</v>
      </c>
      <c r="H889" s="8"/>
    </row>
    <row r="890" ht="25" customHeight="1" spans="1:8">
      <c r="A890" s="6">
        <v>888</v>
      </c>
      <c r="B890" s="7" t="str">
        <f t="shared" si="198"/>
        <v>103</v>
      </c>
      <c r="C890" s="7" t="s">
        <v>663</v>
      </c>
      <c r="D890" s="7" t="s">
        <v>664</v>
      </c>
      <c r="E890" s="7" t="str">
        <f>"蔡南虎"</f>
        <v>蔡南虎</v>
      </c>
      <c r="F890" s="7" t="str">
        <f t="shared" si="201"/>
        <v>男</v>
      </c>
      <c r="G890" s="7" t="s">
        <v>842</v>
      </c>
      <c r="H890" s="8"/>
    </row>
    <row r="891" ht="25" customHeight="1" spans="1:8">
      <c r="A891" s="6">
        <v>889</v>
      </c>
      <c r="B891" s="7" t="str">
        <f t="shared" si="198"/>
        <v>103</v>
      </c>
      <c r="C891" s="7" t="s">
        <v>663</v>
      </c>
      <c r="D891" s="7" t="s">
        <v>664</v>
      </c>
      <c r="E891" s="7" t="str">
        <f>"符永姬"</f>
        <v>符永姬</v>
      </c>
      <c r="F891" s="7" t="str">
        <f t="shared" ref="F891:F895" si="203">"女"</f>
        <v>女</v>
      </c>
      <c r="G891" s="7" t="s">
        <v>843</v>
      </c>
      <c r="H891" s="8"/>
    </row>
    <row r="892" ht="25" customHeight="1" spans="1:8">
      <c r="A892" s="6">
        <v>890</v>
      </c>
      <c r="B892" s="7" t="str">
        <f t="shared" si="198"/>
        <v>103</v>
      </c>
      <c r="C892" s="7" t="s">
        <v>663</v>
      </c>
      <c r="D892" s="7" t="s">
        <v>664</v>
      </c>
      <c r="E892" s="7" t="str">
        <f>"陈绍飞"</f>
        <v>陈绍飞</v>
      </c>
      <c r="F892" s="7" t="str">
        <f t="shared" ref="F892:F897" si="204">"男"</f>
        <v>男</v>
      </c>
      <c r="G892" s="7" t="s">
        <v>844</v>
      </c>
      <c r="H892" s="8"/>
    </row>
    <row r="893" ht="25" customHeight="1" spans="1:8">
      <c r="A893" s="6">
        <v>891</v>
      </c>
      <c r="B893" s="7" t="str">
        <f t="shared" si="198"/>
        <v>103</v>
      </c>
      <c r="C893" s="7" t="s">
        <v>663</v>
      </c>
      <c r="D893" s="7" t="s">
        <v>664</v>
      </c>
      <c r="E893" s="7" t="str">
        <f>"王颖君"</f>
        <v>王颖君</v>
      </c>
      <c r="F893" s="7" t="str">
        <f t="shared" si="203"/>
        <v>女</v>
      </c>
      <c r="G893" s="7" t="s">
        <v>845</v>
      </c>
      <c r="H893" s="8"/>
    </row>
    <row r="894" ht="25" customHeight="1" spans="1:8">
      <c r="A894" s="6">
        <v>892</v>
      </c>
      <c r="B894" s="7" t="str">
        <f t="shared" si="198"/>
        <v>103</v>
      </c>
      <c r="C894" s="7" t="s">
        <v>663</v>
      </c>
      <c r="D894" s="7" t="s">
        <v>664</v>
      </c>
      <c r="E894" s="7" t="str">
        <f>"羊城富"</f>
        <v>羊城富</v>
      </c>
      <c r="F894" s="7" t="str">
        <f t="shared" si="204"/>
        <v>男</v>
      </c>
      <c r="G894" s="7" t="s">
        <v>846</v>
      </c>
      <c r="H894" s="8"/>
    </row>
    <row r="895" ht="25" customHeight="1" spans="1:8">
      <c r="A895" s="6">
        <v>893</v>
      </c>
      <c r="B895" s="7" t="str">
        <f t="shared" si="198"/>
        <v>103</v>
      </c>
      <c r="C895" s="7" t="s">
        <v>663</v>
      </c>
      <c r="D895" s="7" t="s">
        <v>664</v>
      </c>
      <c r="E895" s="7" t="str">
        <f>"黄晶晶"</f>
        <v>黄晶晶</v>
      </c>
      <c r="F895" s="7" t="str">
        <f t="shared" si="203"/>
        <v>女</v>
      </c>
      <c r="G895" s="7" t="s">
        <v>847</v>
      </c>
      <c r="H895" s="8"/>
    </row>
    <row r="896" ht="25" customHeight="1" spans="1:8">
      <c r="A896" s="6">
        <v>894</v>
      </c>
      <c r="B896" s="7" t="str">
        <f t="shared" si="198"/>
        <v>103</v>
      </c>
      <c r="C896" s="7" t="s">
        <v>663</v>
      </c>
      <c r="D896" s="7" t="s">
        <v>664</v>
      </c>
      <c r="E896" s="7" t="str">
        <f>"王灿"</f>
        <v>王灿</v>
      </c>
      <c r="F896" s="7" t="str">
        <f t="shared" si="204"/>
        <v>男</v>
      </c>
      <c r="G896" s="7" t="s">
        <v>848</v>
      </c>
      <c r="H896" s="8"/>
    </row>
    <row r="897" ht="25" customHeight="1" spans="1:8">
      <c r="A897" s="6">
        <v>895</v>
      </c>
      <c r="B897" s="7" t="str">
        <f t="shared" si="198"/>
        <v>103</v>
      </c>
      <c r="C897" s="7" t="s">
        <v>663</v>
      </c>
      <c r="D897" s="7" t="s">
        <v>664</v>
      </c>
      <c r="E897" s="7" t="str">
        <f>"王辉富"</f>
        <v>王辉富</v>
      </c>
      <c r="F897" s="7" t="str">
        <f t="shared" si="204"/>
        <v>男</v>
      </c>
      <c r="G897" s="7" t="s">
        <v>849</v>
      </c>
      <c r="H897" s="8"/>
    </row>
    <row r="898" ht="25" customHeight="1" spans="1:8">
      <c r="A898" s="6">
        <v>896</v>
      </c>
      <c r="B898" s="7" t="str">
        <f t="shared" si="198"/>
        <v>103</v>
      </c>
      <c r="C898" s="7" t="s">
        <v>663</v>
      </c>
      <c r="D898" s="7" t="s">
        <v>664</v>
      </c>
      <c r="E898" s="7" t="str">
        <f>"陈川转"</f>
        <v>陈川转</v>
      </c>
      <c r="F898" s="7" t="str">
        <f t="shared" ref="F898:F903" si="205">"女"</f>
        <v>女</v>
      </c>
      <c r="G898" s="7" t="s">
        <v>850</v>
      </c>
      <c r="H898" s="8"/>
    </row>
    <row r="899" ht="25" customHeight="1" spans="1:8">
      <c r="A899" s="6">
        <v>897</v>
      </c>
      <c r="B899" s="7" t="str">
        <f t="shared" si="198"/>
        <v>103</v>
      </c>
      <c r="C899" s="7" t="s">
        <v>663</v>
      </c>
      <c r="D899" s="7" t="s">
        <v>664</v>
      </c>
      <c r="E899" s="7" t="str">
        <f>"黄弘"</f>
        <v>黄弘</v>
      </c>
      <c r="F899" s="7" t="str">
        <f t="shared" ref="F899:F904" si="206">"男"</f>
        <v>男</v>
      </c>
      <c r="G899" s="7" t="s">
        <v>851</v>
      </c>
      <c r="H899" s="8"/>
    </row>
    <row r="900" ht="25" customHeight="1" spans="1:8">
      <c r="A900" s="6">
        <v>898</v>
      </c>
      <c r="B900" s="7" t="str">
        <f t="shared" si="198"/>
        <v>103</v>
      </c>
      <c r="C900" s="7" t="s">
        <v>663</v>
      </c>
      <c r="D900" s="7" t="s">
        <v>664</v>
      </c>
      <c r="E900" s="7" t="str">
        <f>"符教芳"</f>
        <v>符教芳</v>
      </c>
      <c r="F900" s="7" t="str">
        <f t="shared" si="205"/>
        <v>女</v>
      </c>
      <c r="G900" s="7" t="s">
        <v>852</v>
      </c>
      <c r="H900" s="8"/>
    </row>
    <row r="901" ht="25" customHeight="1" spans="1:8">
      <c r="A901" s="6">
        <v>899</v>
      </c>
      <c r="B901" s="7" t="str">
        <f t="shared" si="198"/>
        <v>103</v>
      </c>
      <c r="C901" s="7" t="s">
        <v>663</v>
      </c>
      <c r="D901" s="7" t="s">
        <v>664</v>
      </c>
      <c r="E901" s="7" t="str">
        <f>"张继铭"</f>
        <v>张继铭</v>
      </c>
      <c r="F901" s="7" t="str">
        <f t="shared" si="206"/>
        <v>男</v>
      </c>
      <c r="G901" s="7" t="s">
        <v>853</v>
      </c>
      <c r="H901" s="8"/>
    </row>
    <row r="902" ht="25" customHeight="1" spans="1:8">
      <c r="A902" s="6">
        <v>900</v>
      </c>
      <c r="B902" s="7" t="str">
        <f t="shared" si="198"/>
        <v>103</v>
      </c>
      <c r="C902" s="7" t="s">
        <v>663</v>
      </c>
      <c r="D902" s="7" t="s">
        <v>664</v>
      </c>
      <c r="E902" s="7" t="str">
        <f>"钟韩池"</f>
        <v>钟韩池</v>
      </c>
      <c r="F902" s="7" t="str">
        <f t="shared" si="205"/>
        <v>女</v>
      </c>
      <c r="G902" s="7" t="s">
        <v>854</v>
      </c>
      <c r="H902" s="8"/>
    </row>
    <row r="903" ht="25" customHeight="1" spans="1:8">
      <c r="A903" s="6">
        <v>901</v>
      </c>
      <c r="B903" s="7" t="str">
        <f t="shared" si="198"/>
        <v>103</v>
      </c>
      <c r="C903" s="7" t="s">
        <v>663</v>
      </c>
      <c r="D903" s="7" t="s">
        <v>664</v>
      </c>
      <c r="E903" s="7" t="str">
        <f>"黄灵灵"</f>
        <v>黄灵灵</v>
      </c>
      <c r="F903" s="7" t="str">
        <f t="shared" si="205"/>
        <v>女</v>
      </c>
      <c r="G903" s="7" t="s">
        <v>855</v>
      </c>
      <c r="H903" s="8"/>
    </row>
    <row r="904" ht="25" customHeight="1" spans="1:8">
      <c r="A904" s="6">
        <v>902</v>
      </c>
      <c r="B904" s="7" t="str">
        <f t="shared" si="198"/>
        <v>103</v>
      </c>
      <c r="C904" s="7" t="s">
        <v>663</v>
      </c>
      <c r="D904" s="7" t="s">
        <v>664</v>
      </c>
      <c r="E904" s="7" t="str">
        <f>"覃进"</f>
        <v>覃进</v>
      </c>
      <c r="F904" s="7" t="str">
        <f t="shared" si="206"/>
        <v>男</v>
      </c>
      <c r="G904" s="7" t="s">
        <v>856</v>
      </c>
      <c r="H904" s="8"/>
    </row>
    <row r="905" ht="25" customHeight="1" spans="1:8">
      <c r="A905" s="6">
        <v>903</v>
      </c>
      <c r="B905" s="7" t="str">
        <f t="shared" si="198"/>
        <v>103</v>
      </c>
      <c r="C905" s="7" t="s">
        <v>663</v>
      </c>
      <c r="D905" s="7" t="s">
        <v>664</v>
      </c>
      <c r="E905" s="7" t="str">
        <f>"石子玉"</f>
        <v>石子玉</v>
      </c>
      <c r="F905" s="7" t="str">
        <f>"女"</f>
        <v>女</v>
      </c>
      <c r="G905" s="7" t="s">
        <v>857</v>
      </c>
      <c r="H905" s="8"/>
    </row>
    <row r="906" ht="25" customHeight="1" spans="1:8">
      <c r="A906" s="6">
        <v>904</v>
      </c>
      <c r="B906" s="7" t="str">
        <f t="shared" si="198"/>
        <v>103</v>
      </c>
      <c r="C906" s="7" t="s">
        <v>663</v>
      </c>
      <c r="D906" s="7" t="s">
        <v>664</v>
      </c>
      <c r="E906" s="7" t="str">
        <f>"陈友顺"</f>
        <v>陈友顺</v>
      </c>
      <c r="F906" s="7" t="str">
        <f t="shared" ref="F906:F911" si="207">"男"</f>
        <v>男</v>
      </c>
      <c r="G906" s="7" t="s">
        <v>858</v>
      </c>
      <c r="H906" s="8"/>
    </row>
    <row r="907" ht="25" customHeight="1" spans="1:8">
      <c r="A907" s="6">
        <v>905</v>
      </c>
      <c r="B907" s="7" t="str">
        <f t="shared" si="198"/>
        <v>103</v>
      </c>
      <c r="C907" s="7" t="s">
        <v>663</v>
      </c>
      <c r="D907" s="7" t="s">
        <v>664</v>
      </c>
      <c r="E907" s="7" t="str">
        <f>"林晶蕊"</f>
        <v>林晶蕊</v>
      </c>
      <c r="F907" s="7" t="str">
        <f>"女"</f>
        <v>女</v>
      </c>
      <c r="G907" s="7" t="s">
        <v>859</v>
      </c>
      <c r="H907" s="8"/>
    </row>
    <row r="908" ht="25" customHeight="1" spans="1:8">
      <c r="A908" s="6">
        <v>906</v>
      </c>
      <c r="B908" s="7" t="str">
        <f t="shared" si="198"/>
        <v>103</v>
      </c>
      <c r="C908" s="7" t="s">
        <v>663</v>
      </c>
      <c r="D908" s="7" t="s">
        <v>664</v>
      </c>
      <c r="E908" s="7" t="str">
        <f>"陈钟昀"</f>
        <v>陈钟昀</v>
      </c>
      <c r="F908" s="7" t="str">
        <f t="shared" si="207"/>
        <v>男</v>
      </c>
      <c r="G908" s="7" t="s">
        <v>860</v>
      </c>
      <c r="H908" s="8"/>
    </row>
    <row r="909" ht="25" customHeight="1" spans="1:8">
      <c r="A909" s="6">
        <v>907</v>
      </c>
      <c r="B909" s="7" t="str">
        <f t="shared" si="198"/>
        <v>103</v>
      </c>
      <c r="C909" s="7" t="s">
        <v>663</v>
      </c>
      <c r="D909" s="7" t="s">
        <v>664</v>
      </c>
      <c r="E909" s="7" t="str">
        <f>"陈晓径"</f>
        <v>陈晓径</v>
      </c>
      <c r="F909" s="7" t="str">
        <f t="shared" si="207"/>
        <v>男</v>
      </c>
      <c r="G909" s="7" t="s">
        <v>861</v>
      </c>
      <c r="H909" s="8"/>
    </row>
    <row r="910" ht="25" customHeight="1" spans="1:8">
      <c r="A910" s="6">
        <v>908</v>
      </c>
      <c r="B910" s="7" t="str">
        <f t="shared" si="198"/>
        <v>103</v>
      </c>
      <c r="C910" s="7" t="s">
        <v>663</v>
      </c>
      <c r="D910" s="7" t="s">
        <v>664</v>
      </c>
      <c r="E910" s="7" t="str">
        <f>"裴日川"</f>
        <v>裴日川</v>
      </c>
      <c r="F910" s="7" t="str">
        <f t="shared" si="207"/>
        <v>男</v>
      </c>
      <c r="G910" s="7" t="s">
        <v>427</v>
      </c>
      <c r="H910" s="8"/>
    </row>
    <row r="911" ht="25" customHeight="1" spans="1:8">
      <c r="A911" s="6">
        <v>909</v>
      </c>
      <c r="B911" s="7" t="str">
        <f t="shared" si="198"/>
        <v>103</v>
      </c>
      <c r="C911" s="7" t="s">
        <v>663</v>
      </c>
      <c r="D911" s="7" t="s">
        <v>664</v>
      </c>
      <c r="E911" s="7" t="str">
        <f>"林鸿锐"</f>
        <v>林鸿锐</v>
      </c>
      <c r="F911" s="7" t="str">
        <f t="shared" si="207"/>
        <v>男</v>
      </c>
      <c r="G911" s="7" t="s">
        <v>862</v>
      </c>
      <c r="H911" s="8"/>
    </row>
    <row r="912" ht="25" customHeight="1" spans="1:8">
      <c r="A912" s="6">
        <v>910</v>
      </c>
      <c r="B912" s="7" t="str">
        <f t="shared" si="198"/>
        <v>103</v>
      </c>
      <c r="C912" s="7" t="s">
        <v>663</v>
      </c>
      <c r="D912" s="7" t="s">
        <v>664</v>
      </c>
      <c r="E912" s="7" t="str">
        <f>"邢孔佼"</f>
        <v>邢孔佼</v>
      </c>
      <c r="F912" s="7" t="str">
        <f t="shared" ref="F912:F915" si="208">"女"</f>
        <v>女</v>
      </c>
      <c r="G912" s="7" t="s">
        <v>340</v>
      </c>
      <c r="H912" s="8"/>
    </row>
    <row r="913" ht="25" customHeight="1" spans="1:8">
      <c r="A913" s="6">
        <v>911</v>
      </c>
      <c r="B913" s="7" t="str">
        <f t="shared" si="198"/>
        <v>103</v>
      </c>
      <c r="C913" s="7" t="s">
        <v>663</v>
      </c>
      <c r="D913" s="7" t="s">
        <v>664</v>
      </c>
      <c r="E913" s="7" t="str">
        <f>"赖怡婷"</f>
        <v>赖怡婷</v>
      </c>
      <c r="F913" s="7" t="str">
        <f t="shared" si="208"/>
        <v>女</v>
      </c>
      <c r="G913" s="7" t="s">
        <v>863</v>
      </c>
      <c r="H913" s="8"/>
    </row>
    <row r="914" ht="25" customHeight="1" spans="1:8">
      <c r="A914" s="6">
        <v>912</v>
      </c>
      <c r="B914" s="7" t="str">
        <f t="shared" si="198"/>
        <v>103</v>
      </c>
      <c r="C914" s="7" t="s">
        <v>663</v>
      </c>
      <c r="D914" s="7" t="s">
        <v>664</v>
      </c>
      <c r="E914" s="7" t="str">
        <f>"黎芮如"</f>
        <v>黎芮如</v>
      </c>
      <c r="F914" s="7" t="str">
        <f t="shared" si="208"/>
        <v>女</v>
      </c>
      <c r="G914" s="7" t="s">
        <v>235</v>
      </c>
      <c r="H914" s="8"/>
    </row>
    <row r="915" ht="25" customHeight="1" spans="1:8">
      <c r="A915" s="6">
        <v>913</v>
      </c>
      <c r="B915" s="7" t="str">
        <f t="shared" si="198"/>
        <v>103</v>
      </c>
      <c r="C915" s="7" t="s">
        <v>663</v>
      </c>
      <c r="D915" s="7" t="s">
        <v>664</v>
      </c>
      <c r="E915" s="7" t="str">
        <f>"李佳潞"</f>
        <v>李佳潞</v>
      </c>
      <c r="F915" s="7" t="str">
        <f t="shared" si="208"/>
        <v>女</v>
      </c>
      <c r="G915" s="7" t="s">
        <v>864</v>
      </c>
      <c r="H915" s="8"/>
    </row>
    <row r="916" ht="25" customHeight="1" spans="1:8">
      <c r="A916" s="6">
        <v>914</v>
      </c>
      <c r="B916" s="7" t="str">
        <f t="shared" si="198"/>
        <v>103</v>
      </c>
      <c r="C916" s="7" t="s">
        <v>663</v>
      </c>
      <c r="D916" s="7" t="s">
        <v>664</v>
      </c>
      <c r="E916" s="7" t="str">
        <f>"郑在理"</f>
        <v>郑在理</v>
      </c>
      <c r="F916" s="7" t="str">
        <f t="shared" ref="F916:F919" si="209">"男"</f>
        <v>男</v>
      </c>
      <c r="G916" s="7" t="s">
        <v>865</v>
      </c>
      <c r="H916" s="8"/>
    </row>
    <row r="917" ht="25" customHeight="1" spans="1:8">
      <c r="A917" s="6">
        <v>915</v>
      </c>
      <c r="B917" s="7" t="str">
        <f t="shared" si="198"/>
        <v>103</v>
      </c>
      <c r="C917" s="7" t="s">
        <v>663</v>
      </c>
      <c r="D917" s="7" t="s">
        <v>664</v>
      </c>
      <c r="E917" s="7" t="str">
        <f>"杨家欣"</f>
        <v>杨家欣</v>
      </c>
      <c r="F917" s="7" t="str">
        <f t="shared" ref="F917:F921" si="210">"女"</f>
        <v>女</v>
      </c>
      <c r="G917" s="7" t="s">
        <v>306</v>
      </c>
      <c r="H917" s="8"/>
    </row>
    <row r="918" ht="25" customHeight="1" spans="1:8">
      <c r="A918" s="6">
        <v>916</v>
      </c>
      <c r="B918" s="7" t="str">
        <f t="shared" si="198"/>
        <v>103</v>
      </c>
      <c r="C918" s="7" t="s">
        <v>663</v>
      </c>
      <c r="D918" s="7" t="s">
        <v>664</v>
      </c>
      <c r="E918" s="7" t="str">
        <f>"莫明扶"</f>
        <v>莫明扶</v>
      </c>
      <c r="F918" s="7" t="str">
        <f t="shared" si="209"/>
        <v>男</v>
      </c>
      <c r="G918" s="7" t="s">
        <v>866</v>
      </c>
      <c r="H918" s="8"/>
    </row>
    <row r="919" ht="25" customHeight="1" spans="1:8">
      <c r="A919" s="6">
        <v>917</v>
      </c>
      <c r="B919" s="7" t="str">
        <f t="shared" si="198"/>
        <v>103</v>
      </c>
      <c r="C919" s="7" t="s">
        <v>663</v>
      </c>
      <c r="D919" s="7" t="s">
        <v>664</v>
      </c>
      <c r="E919" s="7" t="str">
        <f>"陈佩鸿"</f>
        <v>陈佩鸿</v>
      </c>
      <c r="F919" s="7" t="str">
        <f t="shared" si="209"/>
        <v>男</v>
      </c>
      <c r="G919" s="7" t="s">
        <v>867</v>
      </c>
      <c r="H919" s="8"/>
    </row>
    <row r="920" ht="25" customHeight="1" spans="1:8">
      <c r="A920" s="6">
        <v>918</v>
      </c>
      <c r="B920" s="7" t="str">
        <f t="shared" si="198"/>
        <v>103</v>
      </c>
      <c r="C920" s="7" t="s">
        <v>663</v>
      </c>
      <c r="D920" s="7" t="s">
        <v>664</v>
      </c>
      <c r="E920" s="7" t="str">
        <f>"韩文艳"</f>
        <v>韩文艳</v>
      </c>
      <c r="F920" s="7" t="str">
        <f t="shared" si="210"/>
        <v>女</v>
      </c>
      <c r="G920" s="7" t="s">
        <v>868</v>
      </c>
      <c r="H920" s="8"/>
    </row>
    <row r="921" ht="25" customHeight="1" spans="1:8">
      <c r="A921" s="6">
        <v>919</v>
      </c>
      <c r="B921" s="7" t="str">
        <f t="shared" si="198"/>
        <v>103</v>
      </c>
      <c r="C921" s="7" t="s">
        <v>663</v>
      </c>
      <c r="D921" s="7" t="s">
        <v>664</v>
      </c>
      <c r="E921" s="7" t="str">
        <f>"陈玺"</f>
        <v>陈玺</v>
      </c>
      <c r="F921" s="7" t="str">
        <f t="shared" si="210"/>
        <v>女</v>
      </c>
      <c r="G921" s="7" t="s">
        <v>869</v>
      </c>
      <c r="H921" s="8"/>
    </row>
    <row r="922" ht="25" customHeight="1" spans="1:8">
      <c r="A922" s="6">
        <v>920</v>
      </c>
      <c r="B922" s="7" t="str">
        <f t="shared" si="198"/>
        <v>103</v>
      </c>
      <c r="C922" s="7" t="s">
        <v>663</v>
      </c>
      <c r="D922" s="7" t="s">
        <v>664</v>
      </c>
      <c r="E922" s="7" t="str">
        <f>"黄香演"</f>
        <v>黄香演</v>
      </c>
      <c r="F922" s="7" t="str">
        <f>"男"</f>
        <v>男</v>
      </c>
      <c r="G922" s="7" t="s">
        <v>870</v>
      </c>
      <c r="H922" s="8"/>
    </row>
    <row r="923" ht="25" customHeight="1" spans="1:8">
      <c r="A923" s="6">
        <v>921</v>
      </c>
      <c r="B923" s="7" t="str">
        <f t="shared" si="198"/>
        <v>103</v>
      </c>
      <c r="C923" s="7" t="s">
        <v>663</v>
      </c>
      <c r="D923" s="7" t="s">
        <v>664</v>
      </c>
      <c r="E923" s="7" t="str">
        <f>"林玉华"</f>
        <v>林玉华</v>
      </c>
      <c r="F923" s="7" t="str">
        <f t="shared" ref="F923:F927" si="211">"女"</f>
        <v>女</v>
      </c>
      <c r="G923" s="7" t="s">
        <v>593</v>
      </c>
      <c r="H923" s="8"/>
    </row>
    <row r="924" ht="25" customHeight="1" spans="1:8">
      <c r="A924" s="6">
        <v>922</v>
      </c>
      <c r="B924" s="7" t="str">
        <f t="shared" si="198"/>
        <v>103</v>
      </c>
      <c r="C924" s="7" t="s">
        <v>663</v>
      </c>
      <c r="D924" s="7" t="s">
        <v>664</v>
      </c>
      <c r="E924" s="7" t="str">
        <f>"罗天蝉"</f>
        <v>罗天蝉</v>
      </c>
      <c r="F924" s="7" t="str">
        <f t="shared" si="211"/>
        <v>女</v>
      </c>
      <c r="G924" s="7" t="s">
        <v>871</v>
      </c>
      <c r="H924" s="8"/>
    </row>
    <row r="925" ht="25" customHeight="1" spans="1:8">
      <c r="A925" s="6">
        <v>923</v>
      </c>
      <c r="B925" s="7" t="str">
        <f t="shared" si="198"/>
        <v>103</v>
      </c>
      <c r="C925" s="7" t="s">
        <v>663</v>
      </c>
      <c r="D925" s="7" t="s">
        <v>664</v>
      </c>
      <c r="E925" s="7" t="str">
        <f>"展舒悦"</f>
        <v>展舒悦</v>
      </c>
      <c r="F925" s="7" t="str">
        <f t="shared" si="211"/>
        <v>女</v>
      </c>
      <c r="G925" s="7" t="s">
        <v>872</v>
      </c>
      <c r="H925" s="8"/>
    </row>
    <row r="926" ht="25" customHeight="1" spans="1:8">
      <c r="A926" s="6">
        <v>924</v>
      </c>
      <c r="B926" s="7" t="str">
        <f t="shared" si="198"/>
        <v>103</v>
      </c>
      <c r="C926" s="7" t="s">
        <v>663</v>
      </c>
      <c r="D926" s="7" t="s">
        <v>664</v>
      </c>
      <c r="E926" s="7" t="str">
        <f>"陈沁楠"</f>
        <v>陈沁楠</v>
      </c>
      <c r="F926" s="7" t="str">
        <f t="shared" si="211"/>
        <v>女</v>
      </c>
      <c r="G926" s="7" t="s">
        <v>873</v>
      </c>
      <c r="H926" s="8"/>
    </row>
    <row r="927" ht="25" customHeight="1" spans="1:8">
      <c r="A927" s="6">
        <v>925</v>
      </c>
      <c r="B927" s="7" t="str">
        <f t="shared" si="198"/>
        <v>103</v>
      </c>
      <c r="C927" s="7" t="s">
        <v>663</v>
      </c>
      <c r="D927" s="7" t="s">
        <v>664</v>
      </c>
      <c r="E927" s="7" t="str">
        <f>"彭若颖"</f>
        <v>彭若颖</v>
      </c>
      <c r="F927" s="7" t="str">
        <f t="shared" si="211"/>
        <v>女</v>
      </c>
      <c r="G927" s="7" t="s">
        <v>874</v>
      </c>
      <c r="H927" s="8"/>
    </row>
    <row r="928" ht="25" customHeight="1" spans="1:8">
      <c r="A928" s="6">
        <v>926</v>
      </c>
      <c r="B928" s="7" t="str">
        <f t="shared" si="198"/>
        <v>103</v>
      </c>
      <c r="C928" s="7" t="s">
        <v>663</v>
      </c>
      <c r="D928" s="7" t="s">
        <v>664</v>
      </c>
      <c r="E928" s="7" t="str">
        <f>"陈世萱"</f>
        <v>陈世萱</v>
      </c>
      <c r="F928" s="7" t="str">
        <f>"男"</f>
        <v>男</v>
      </c>
      <c r="G928" s="7" t="s">
        <v>875</v>
      </c>
      <c r="H928" s="8"/>
    </row>
    <row r="929" ht="25" customHeight="1" spans="1:8">
      <c r="A929" s="6">
        <v>927</v>
      </c>
      <c r="B929" s="7" t="str">
        <f t="shared" si="198"/>
        <v>103</v>
      </c>
      <c r="C929" s="7" t="s">
        <v>663</v>
      </c>
      <c r="D929" s="7" t="s">
        <v>664</v>
      </c>
      <c r="E929" s="7" t="str">
        <f>"陈景"</f>
        <v>陈景</v>
      </c>
      <c r="F929" s="7" t="str">
        <f t="shared" ref="F929:F934" si="212">"女"</f>
        <v>女</v>
      </c>
      <c r="G929" s="7" t="s">
        <v>876</v>
      </c>
      <c r="H929" s="8"/>
    </row>
    <row r="930" ht="25" customHeight="1" spans="1:8">
      <c r="A930" s="6">
        <v>928</v>
      </c>
      <c r="B930" s="7" t="str">
        <f t="shared" si="198"/>
        <v>103</v>
      </c>
      <c r="C930" s="7" t="s">
        <v>663</v>
      </c>
      <c r="D930" s="7" t="s">
        <v>664</v>
      </c>
      <c r="E930" s="7" t="str">
        <f>"孟鑫蕊"</f>
        <v>孟鑫蕊</v>
      </c>
      <c r="F930" s="7" t="str">
        <f t="shared" si="212"/>
        <v>女</v>
      </c>
      <c r="G930" s="7" t="s">
        <v>877</v>
      </c>
      <c r="H930" s="8"/>
    </row>
    <row r="931" ht="25" customHeight="1" spans="1:8">
      <c r="A931" s="6">
        <v>929</v>
      </c>
      <c r="B931" s="7" t="str">
        <f t="shared" si="198"/>
        <v>103</v>
      </c>
      <c r="C931" s="7" t="s">
        <v>663</v>
      </c>
      <c r="D931" s="7" t="s">
        <v>664</v>
      </c>
      <c r="E931" s="7" t="str">
        <f>"梁家华"</f>
        <v>梁家华</v>
      </c>
      <c r="F931" s="7" t="str">
        <f>"男"</f>
        <v>男</v>
      </c>
      <c r="G931" s="7" t="s">
        <v>878</v>
      </c>
      <c r="H931" s="8"/>
    </row>
    <row r="932" ht="25" customHeight="1" spans="1:8">
      <c r="A932" s="6">
        <v>930</v>
      </c>
      <c r="B932" s="7" t="str">
        <f t="shared" si="198"/>
        <v>103</v>
      </c>
      <c r="C932" s="7" t="s">
        <v>663</v>
      </c>
      <c r="D932" s="7" t="s">
        <v>664</v>
      </c>
      <c r="E932" s="7" t="str">
        <f>"段淑航"</f>
        <v>段淑航</v>
      </c>
      <c r="F932" s="7" t="str">
        <f t="shared" si="212"/>
        <v>女</v>
      </c>
      <c r="G932" s="7" t="s">
        <v>879</v>
      </c>
      <c r="H932" s="8"/>
    </row>
    <row r="933" ht="25" customHeight="1" spans="1:8">
      <c r="A933" s="6">
        <v>931</v>
      </c>
      <c r="B933" s="7" t="str">
        <f t="shared" si="198"/>
        <v>103</v>
      </c>
      <c r="C933" s="7" t="s">
        <v>663</v>
      </c>
      <c r="D933" s="7" t="s">
        <v>664</v>
      </c>
      <c r="E933" s="7" t="str">
        <f>"陈乔菀"</f>
        <v>陈乔菀</v>
      </c>
      <c r="F933" s="7" t="str">
        <f t="shared" si="212"/>
        <v>女</v>
      </c>
      <c r="G933" s="7" t="s">
        <v>880</v>
      </c>
      <c r="H933" s="8"/>
    </row>
    <row r="934" ht="25" customHeight="1" spans="1:8">
      <c r="A934" s="6">
        <v>932</v>
      </c>
      <c r="B934" s="7" t="str">
        <f t="shared" si="198"/>
        <v>103</v>
      </c>
      <c r="C934" s="7" t="s">
        <v>663</v>
      </c>
      <c r="D934" s="7" t="s">
        <v>664</v>
      </c>
      <c r="E934" s="7" t="str">
        <f>"由蕾"</f>
        <v>由蕾</v>
      </c>
      <c r="F934" s="7" t="str">
        <f t="shared" si="212"/>
        <v>女</v>
      </c>
      <c r="G934" s="7" t="s">
        <v>881</v>
      </c>
      <c r="H934" s="8"/>
    </row>
    <row r="935" ht="25" customHeight="1" spans="1:8">
      <c r="A935" s="6">
        <v>933</v>
      </c>
      <c r="B935" s="7" t="str">
        <f t="shared" si="198"/>
        <v>103</v>
      </c>
      <c r="C935" s="7" t="s">
        <v>663</v>
      </c>
      <c r="D935" s="7" t="s">
        <v>664</v>
      </c>
      <c r="E935" s="7" t="str">
        <f>"甘一泛"</f>
        <v>甘一泛</v>
      </c>
      <c r="F935" s="7" t="str">
        <f t="shared" ref="F935:F940" si="213">"男"</f>
        <v>男</v>
      </c>
      <c r="G935" s="7" t="s">
        <v>882</v>
      </c>
      <c r="H935" s="8"/>
    </row>
    <row r="936" ht="25" customHeight="1" spans="1:8">
      <c r="A936" s="6">
        <v>934</v>
      </c>
      <c r="B936" s="7" t="str">
        <f t="shared" ref="B936:B999" si="214">"103"</f>
        <v>103</v>
      </c>
      <c r="C936" s="7" t="s">
        <v>663</v>
      </c>
      <c r="D936" s="7" t="s">
        <v>664</v>
      </c>
      <c r="E936" s="7" t="str">
        <f>"苏篁倩"</f>
        <v>苏篁倩</v>
      </c>
      <c r="F936" s="7" t="str">
        <f t="shared" ref="F936:F938" si="215">"女"</f>
        <v>女</v>
      </c>
      <c r="G936" s="7" t="s">
        <v>552</v>
      </c>
      <c r="H936" s="8"/>
    </row>
    <row r="937" ht="25" customHeight="1" spans="1:8">
      <c r="A937" s="6">
        <v>935</v>
      </c>
      <c r="B937" s="7" t="str">
        <f t="shared" si="214"/>
        <v>103</v>
      </c>
      <c r="C937" s="7" t="s">
        <v>663</v>
      </c>
      <c r="D937" s="7" t="s">
        <v>664</v>
      </c>
      <c r="E937" s="7" t="str">
        <f>"林云"</f>
        <v>林云</v>
      </c>
      <c r="F937" s="7" t="str">
        <f t="shared" si="215"/>
        <v>女</v>
      </c>
      <c r="G937" s="7" t="s">
        <v>660</v>
      </c>
      <c r="H937" s="8"/>
    </row>
    <row r="938" ht="25" customHeight="1" spans="1:8">
      <c r="A938" s="6">
        <v>936</v>
      </c>
      <c r="B938" s="7" t="str">
        <f t="shared" si="214"/>
        <v>103</v>
      </c>
      <c r="C938" s="7" t="s">
        <v>663</v>
      </c>
      <c r="D938" s="7" t="s">
        <v>664</v>
      </c>
      <c r="E938" s="7" t="str">
        <f>"文云妃"</f>
        <v>文云妃</v>
      </c>
      <c r="F938" s="7" t="str">
        <f t="shared" si="215"/>
        <v>女</v>
      </c>
      <c r="G938" s="7" t="s">
        <v>883</v>
      </c>
      <c r="H938" s="8"/>
    </row>
    <row r="939" ht="25" customHeight="1" spans="1:8">
      <c r="A939" s="6">
        <v>937</v>
      </c>
      <c r="B939" s="7" t="str">
        <f t="shared" si="214"/>
        <v>103</v>
      </c>
      <c r="C939" s="7" t="s">
        <v>663</v>
      </c>
      <c r="D939" s="7" t="s">
        <v>664</v>
      </c>
      <c r="E939" s="7" t="str">
        <f>"符勤"</f>
        <v>符勤</v>
      </c>
      <c r="F939" s="7" t="str">
        <f t="shared" si="213"/>
        <v>男</v>
      </c>
      <c r="G939" s="7" t="s">
        <v>884</v>
      </c>
      <c r="H939" s="8"/>
    </row>
    <row r="940" ht="25" customHeight="1" spans="1:8">
      <c r="A940" s="6">
        <v>938</v>
      </c>
      <c r="B940" s="7" t="str">
        <f t="shared" si="214"/>
        <v>103</v>
      </c>
      <c r="C940" s="7" t="s">
        <v>663</v>
      </c>
      <c r="D940" s="7" t="s">
        <v>664</v>
      </c>
      <c r="E940" s="7" t="str">
        <f>"何光透"</f>
        <v>何光透</v>
      </c>
      <c r="F940" s="7" t="str">
        <f t="shared" si="213"/>
        <v>男</v>
      </c>
      <c r="G940" s="7" t="s">
        <v>574</v>
      </c>
      <c r="H940" s="8"/>
    </row>
    <row r="941" ht="25" customHeight="1" spans="1:8">
      <c r="A941" s="6">
        <v>939</v>
      </c>
      <c r="B941" s="7" t="str">
        <f t="shared" si="214"/>
        <v>103</v>
      </c>
      <c r="C941" s="7" t="s">
        <v>663</v>
      </c>
      <c r="D941" s="7" t="s">
        <v>664</v>
      </c>
      <c r="E941" s="7" t="str">
        <f>"胡天妹"</f>
        <v>胡天妹</v>
      </c>
      <c r="F941" s="7" t="str">
        <f>"女"</f>
        <v>女</v>
      </c>
      <c r="G941" s="7" t="s">
        <v>885</v>
      </c>
      <c r="H941" s="8"/>
    </row>
    <row r="942" ht="25" customHeight="1" spans="1:8">
      <c r="A942" s="6">
        <v>940</v>
      </c>
      <c r="B942" s="7" t="str">
        <f t="shared" si="214"/>
        <v>103</v>
      </c>
      <c r="C942" s="7" t="s">
        <v>663</v>
      </c>
      <c r="D942" s="7" t="s">
        <v>664</v>
      </c>
      <c r="E942" s="7" t="str">
        <f>"符笃辉"</f>
        <v>符笃辉</v>
      </c>
      <c r="F942" s="7" t="str">
        <f t="shared" ref="F942:F944" si="216">"男"</f>
        <v>男</v>
      </c>
      <c r="G942" s="7" t="s">
        <v>886</v>
      </c>
      <c r="H942" s="8"/>
    </row>
    <row r="943" ht="25" customHeight="1" spans="1:8">
      <c r="A943" s="6">
        <v>941</v>
      </c>
      <c r="B943" s="7" t="str">
        <f t="shared" si="214"/>
        <v>103</v>
      </c>
      <c r="C943" s="7" t="s">
        <v>663</v>
      </c>
      <c r="D943" s="7" t="s">
        <v>664</v>
      </c>
      <c r="E943" s="7" t="str">
        <f>"吴宇飞"</f>
        <v>吴宇飞</v>
      </c>
      <c r="F943" s="7" t="str">
        <f t="shared" si="216"/>
        <v>男</v>
      </c>
      <c r="G943" s="7" t="s">
        <v>887</v>
      </c>
      <c r="H943" s="8"/>
    </row>
    <row r="944" ht="25" customHeight="1" spans="1:8">
      <c r="A944" s="6">
        <v>942</v>
      </c>
      <c r="B944" s="7" t="str">
        <f t="shared" si="214"/>
        <v>103</v>
      </c>
      <c r="C944" s="7" t="s">
        <v>663</v>
      </c>
      <c r="D944" s="7" t="s">
        <v>664</v>
      </c>
      <c r="E944" s="7" t="str">
        <f>"肖景文"</f>
        <v>肖景文</v>
      </c>
      <c r="F944" s="7" t="str">
        <f t="shared" si="216"/>
        <v>男</v>
      </c>
      <c r="G944" s="7" t="s">
        <v>888</v>
      </c>
      <c r="H944" s="8"/>
    </row>
    <row r="945" ht="25" customHeight="1" spans="1:8">
      <c r="A945" s="6">
        <v>943</v>
      </c>
      <c r="B945" s="7" t="str">
        <f t="shared" si="214"/>
        <v>103</v>
      </c>
      <c r="C945" s="7" t="s">
        <v>663</v>
      </c>
      <c r="D945" s="7" t="s">
        <v>664</v>
      </c>
      <c r="E945" s="7" t="str">
        <f>"符启璇"</f>
        <v>符启璇</v>
      </c>
      <c r="F945" s="7" t="str">
        <f t="shared" ref="F945:F948" si="217">"女"</f>
        <v>女</v>
      </c>
      <c r="G945" s="7" t="s">
        <v>889</v>
      </c>
      <c r="H945" s="8"/>
    </row>
    <row r="946" ht="25" customHeight="1" spans="1:8">
      <c r="A946" s="6">
        <v>944</v>
      </c>
      <c r="B946" s="7" t="str">
        <f t="shared" si="214"/>
        <v>103</v>
      </c>
      <c r="C946" s="7" t="s">
        <v>663</v>
      </c>
      <c r="D946" s="7" t="s">
        <v>664</v>
      </c>
      <c r="E946" s="7" t="str">
        <f>"丁莫同"</f>
        <v>丁莫同</v>
      </c>
      <c r="F946" s="7" t="str">
        <f>"男"</f>
        <v>男</v>
      </c>
      <c r="G946" s="7" t="s">
        <v>890</v>
      </c>
      <c r="H946" s="8"/>
    </row>
    <row r="947" ht="25" customHeight="1" spans="1:8">
      <c r="A947" s="6">
        <v>945</v>
      </c>
      <c r="B947" s="7" t="str">
        <f t="shared" si="214"/>
        <v>103</v>
      </c>
      <c r="C947" s="7" t="s">
        <v>663</v>
      </c>
      <c r="D947" s="7" t="s">
        <v>664</v>
      </c>
      <c r="E947" s="7" t="str">
        <f>"李晓"</f>
        <v>李晓</v>
      </c>
      <c r="F947" s="7" t="str">
        <f t="shared" si="217"/>
        <v>女</v>
      </c>
      <c r="G947" s="7" t="s">
        <v>891</v>
      </c>
      <c r="H947" s="8"/>
    </row>
    <row r="948" ht="25" customHeight="1" spans="1:8">
      <c r="A948" s="6">
        <v>946</v>
      </c>
      <c r="B948" s="7" t="str">
        <f t="shared" si="214"/>
        <v>103</v>
      </c>
      <c r="C948" s="7" t="s">
        <v>663</v>
      </c>
      <c r="D948" s="7" t="s">
        <v>664</v>
      </c>
      <c r="E948" s="7" t="str">
        <f>"陈育霁"</f>
        <v>陈育霁</v>
      </c>
      <c r="F948" s="7" t="str">
        <f t="shared" si="217"/>
        <v>女</v>
      </c>
      <c r="G948" s="7" t="s">
        <v>892</v>
      </c>
      <c r="H948" s="8"/>
    </row>
    <row r="949" ht="25" customHeight="1" spans="1:8">
      <c r="A949" s="6">
        <v>947</v>
      </c>
      <c r="B949" s="7" t="str">
        <f t="shared" si="214"/>
        <v>103</v>
      </c>
      <c r="C949" s="7" t="s">
        <v>663</v>
      </c>
      <c r="D949" s="7" t="s">
        <v>664</v>
      </c>
      <c r="E949" s="7" t="str">
        <f>"黎寒鋆"</f>
        <v>黎寒鋆</v>
      </c>
      <c r="F949" s="7" t="str">
        <f>"男"</f>
        <v>男</v>
      </c>
      <c r="G949" s="7" t="s">
        <v>893</v>
      </c>
      <c r="H949" s="8"/>
    </row>
    <row r="950" ht="25" customHeight="1" spans="1:8">
      <c r="A950" s="6">
        <v>948</v>
      </c>
      <c r="B950" s="7" t="str">
        <f t="shared" si="214"/>
        <v>103</v>
      </c>
      <c r="C950" s="7" t="s">
        <v>663</v>
      </c>
      <c r="D950" s="7" t="s">
        <v>664</v>
      </c>
      <c r="E950" s="7" t="str">
        <f>"高卓婕"</f>
        <v>高卓婕</v>
      </c>
      <c r="F950" s="7" t="str">
        <f t="shared" ref="F950:F952" si="218">"女"</f>
        <v>女</v>
      </c>
      <c r="G950" s="7" t="s">
        <v>894</v>
      </c>
      <c r="H950" s="8"/>
    </row>
    <row r="951" ht="25" customHeight="1" spans="1:8">
      <c r="A951" s="6">
        <v>949</v>
      </c>
      <c r="B951" s="7" t="str">
        <f t="shared" si="214"/>
        <v>103</v>
      </c>
      <c r="C951" s="7" t="s">
        <v>663</v>
      </c>
      <c r="D951" s="7" t="s">
        <v>664</v>
      </c>
      <c r="E951" s="7" t="str">
        <f>"陈蔓绮"</f>
        <v>陈蔓绮</v>
      </c>
      <c r="F951" s="7" t="str">
        <f t="shared" si="218"/>
        <v>女</v>
      </c>
      <c r="G951" s="7" t="s">
        <v>895</v>
      </c>
      <c r="H951" s="8"/>
    </row>
    <row r="952" ht="25" customHeight="1" spans="1:8">
      <c r="A952" s="6">
        <v>950</v>
      </c>
      <c r="B952" s="7" t="str">
        <f t="shared" si="214"/>
        <v>103</v>
      </c>
      <c r="C952" s="7" t="s">
        <v>663</v>
      </c>
      <c r="D952" s="7" t="s">
        <v>664</v>
      </c>
      <c r="E952" s="7" t="str">
        <f>"蔡泽慧"</f>
        <v>蔡泽慧</v>
      </c>
      <c r="F952" s="7" t="str">
        <f t="shared" si="218"/>
        <v>女</v>
      </c>
      <c r="G952" s="7" t="s">
        <v>896</v>
      </c>
      <c r="H952" s="8"/>
    </row>
    <row r="953" ht="25" customHeight="1" spans="1:8">
      <c r="A953" s="6">
        <v>951</v>
      </c>
      <c r="B953" s="7" t="str">
        <f t="shared" si="214"/>
        <v>103</v>
      </c>
      <c r="C953" s="7" t="s">
        <v>663</v>
      </c>
      <c r="D953" s="7" t="s">
        <v>664</v>
      </c>
      <c r="E953" s="7" t="str">
        <f>"陈逢世"</f>
        <v>陈逢世</v>
      </c>
      <c r="F953" s="7" t="str">
        <f t="shared" ref="F953:F958" si="219">"男"</f>
        <v>男</v>
      </c>
      <c r="G953" s="7" t="s">
        <v>897</v>
      </c>
      <c r="H953" s="8"/>
    </row>
    <row r="954" ht="25" customHeight="1" spans="1:8">
      <c r="A954" s="6">
        <v>952</v>
      </c>
      <c r="B954" s="7" t="str">
        <f t="shared" si="214"/>
        <v>103</v>
      </c>
      <c r="C954" s="7" t="s">
        <v>663</v>
      </c>
      <c r="D954" s="7" t="s">
        <v>664</v>
      </c>
      <c r="E954" s="7" t="str">
        <f>"邢雅韵"</f>
        <v>邢雅韵</v>
      </c>
      <c r="F954" s="7" t="str">
        <f t="shared" ref="F954:F956" si="220">"女"</f>
        <v>女</v>
      </c>
      <c r="G954" s="7" t="s">
        <v>898</v>
      </c>
      <c r="H954" s="8"/>
    </row>
    <row r="955" ht="25" customHeight="1" spans="1:8">
      <c r="A955" s="6">
        <v>953</v>
      </c>
      <c r="B955" s="7" t="str">
        <f t="shared" si="214"/>
        <v>103</v>
      </c>
      <c r="C955" s="7" t="s">
        <v>663</v>
      </c>
      <c r="D955" s="7" t="s">
        <v>664</v>
      </c>
      <c r="E955" s="7" t="str">
        <f>"罗妹"</f>
        <v>罗妹</v>
      </c>
      <c r="F955" s="7" t="str">
        <f t="shared" si="220"/>
        <v>女</v>
      </c>
      <c r="G955" s="7" t="s">
        <v>899</v>
      </c>
      <c r="H955" s="8"/>
    </row>
    <row r="956" ht="25" customHeight="1" spans="1:8">
      <c r="A956" s="6">
        <v>954</v>
      </c>
      <c r="B956" s="7" t="str">
        <f t="shared" si="214"/>
        <v>103</v>
      </c>
      <c r="C956" s="7" t="s">
        <v>663</v>
      </c>
      <c r="D956" s="7" t="s">
        <v>664</v>
      </c>
      <c r="E956" s="7" t="str">
        <f>"陈晓凌"</f>
        <v>陈晓凌</v>
      </c>
      <c r="F956" s="7" t="str">
        <f t="shared" si="220"/>
        <v>女</v>
      </c>
      <c r="G956" s="7" t="s">
        <v>326</v>
      </c>
      <c r="H956" s="8"/>
    </row>
    <row r="957" ht="25" customHeight="1" spans="1:8">
      <c r="A957" s="6">
        <v>955</v>
      </c>
      <c r="B957" s="7" t="str">
        <f t="shared" si="214"/>
        <v>103</v>
      </c>
      <c r="C957" s="7" t="s">
        <v>663</v>
      </c>
      <c r="D957" s="7" t="s">
        <v>664</v>
      </c>
      <c r="E957" s="7" t="str">
        <f>"吴淑奋"</f>
        <v>吴淑奋</v>
      </c>
      <c r="F957" s="7" t="str">
        <f t="shared" si="219"/>
        <v>男</v>
      </c>
      <c r="G957" s="7" t="s">
        <v>900</v>
      </c>
      <c r="H957" s="8"/>
    </row>
    <row r="958" ht="25" customHeight="1" spans="1:8">
      <c r="A958" s="6">
        <v>956</v>
      </c>
      <c r="B958" s="7" t="str">
        <f t="shared" si="214"/>
        <v>103</v>
      </c>
      <c r="C958" s="7" t="s">
        <v>663</v>
      </c>
      <c r="D958" s="7" t="s">
        <v>664</v>
      </c>
      <c r="E958" s="7" t="str">
        <f>" 王博辉"</f>
        <v> 王博辉</v>
      </c>
      <c r="F958" s="7" t="str">
        <f t="shared" si="219"/>
        <v>男</v>
      </c>
      <c r="G958" s="7" t="s">
        <v>901</v>
      </c>
      <c r="H958" s="8"/>
    </row>
    <row r="959" ht="25" customHeight="1" spans="1:8">
      <c r="A959" s="6">
        <v>957</v>
      </c>
      <c r="B959" s="7" t="str">
        <f t="shared" si="214"/>
        <v>103</v>
      </c>
      <c r="C959" s="7" t="s">
        <v>663</v>
      </c>
      <c r="D959" s="7" t="s">
        <v>664</v>
      </c>
      <c r="E959" s="7" t="str">
        <f>"梁艳燕"</f>
        <v>梁艳燕</v>
      </c>
      <c r="F959" s="7" t="str">
        <f t="shared" ref="F959:F962" si="221">"女"</f>
        <v>女</v>
      </c>
      <c r="G959" s="7" t="s">
        <v>902</v>
      </c>
      <c r="H959" s="8"/>
    </row>
    <row r="960" ht="25" customHeight="1" spans="1:8">
      <c r="A960" s="6">
        <v>958</v>
      </c>
      <c r="B960" s="7" t="str">
        <f t="shared" si="214"/>
        <v>103</v>
      </c>
      <c r="C960" s="7" t="s">
        <v>663</v>
      </c>
      <c r="D960" s="7" t="s">
        <v>664</v>
      </c>
      <c r="E960" s="7" t="str">
        <f>"麦雪艳"</f>
        <v>麦雪艳</v>
      </c>
      <c r="F960" s="7" t="str">
        <f t="shared" si="221"/>
        <v>女</v>
      </c>
      <c r="G960" s="7" t="s">
        <v>903</v>
      </c>
      <c r="H960" s="8"/>
    </row>
    <row r="961" ht="25" customHeight="1" spans="1:8">
      <c r="A961" s="6">
        <v>959</v>
      </c>
      <c r="B961" s="7" t="str">
        <f t="shared" si="214"/>
        <v>103</v>
      </c>
      <c r="C961" s="7" t="s">
        <v>663</v>
      </c>
      <c r="D961" s="7" t="s">
        <v>664</v>
      </c>
      <c r="E961" s="7" t="str">
        <f>"张译文"</f>
        <v>张译文</v>
      </c>
      <c r="F961" s="7" t="str">
        <f t="shared" si="221"/>
        <v>女</v>
      </c>
      <c r="G961" s="7" t="s">
        <v>904</v>
      </c>
      <c r="H961" s="8"/>
    </row>
    <row r="962" ht="25" customHeight="1" spans="1:8">
      <c r="A962" s="6">
        <v>960</v>
      </c>
      <c r="B962" s="7" t="str">
        <f t="shared" si="214"/>
        <v>103</v>
      </c>
      <c r="C962" s="7" t="s">
        <v>663</v>
      </c>
      <c r="D962" s="7" t="s">
        <v>664</v>
      </c>
      <c r="E962" s="7" t="str">
        <f>"龙灿"</f>
        <v>龙灿</v>
      </c>
      <c r="F962" s="7" t="str">
        <f t="shared" si="221"/>
        <v>女</v>
      </c>
      <c r="G962" s="7" t="s">
        <v>905</v>
      </c>
      <c r="H962" s="8"/>
    </row>
    <row r="963" ht="25" customHeight="1" spans="1:8">
      <c r="A963" s="6">
        <v>961</v>
      </c>
      <c r="B963" s="7" t="str">
        <f t="shared" si="214"/>
        <v>103</v>
      </c>
      <c r="C963" s="7" t="s">
        <v>663</v>
      </c>
      <c r="D963" s="7" t="s">
        <v>664</v>
      </c>
      <c r="E963" s="7" t="str">
        <f>"王跃泽"</f>
        <v>王跃泽</v>
      </c>
      <c r="F963" s="7" t="str">
        <f t="shared" ref="F963:F966" si="222">"男"</f>
        <v>男</v>
      </c>
      <c r="G963" s="7" t="s">
        <v>906</v>
      </c>
      <c r="H963" s="8"/>
    </row>
    <row r="964" ht="25" customHeight="1" spans="1:8">
      <c r="A964" s="6">
        <v>962</v>
      </c>
      <c r="B964" s="7" t="str">
        <f t="shared" si="214"/>
        <v>103</v>
      </c>
      <c r="C964" s="7" t="s">
        <v>663</v>
      </c>
      <c r="D964" s="7" t="s">
        <v>664</v>
      </c>
      <c r="E964" s="7" t="str">
        <f>"樊文"</f>
        <v>樊文</v>
      </c>
      <c r="F964" s="7" t="str">
        <f t="shared" si="222"/>
        <v>男</v>
      </c>
      <c r="G964" s="7" t="s">
        <v>907</v>
      </c>
      <c r="H964" s="8"/>
    </row>
    <row r="965" ht="25" customHeight="1" spans="1:8">
      <c r="A965" s="6">
        <v>963</v>
      </c>
      <c r="B965" s="7" t="str">
        <f t="shared" si="214"/>
        <v>103</v>
      </c>
      <c r="C965" s="7" t="s">
        <v>663</v>
      </c>
      <c r="D965" s="7" t="s">
        <v>664</v>
      </c>
      <c r="E965" s="7" t="str">
        <f>"吴溪珍"</f>
        <v>吴溪珍</v>
      </c>
      <c r="F965" s="7" t="str">
        <f t="shared" ref="F965:F969" si="223">"女"</f>
        <v>女</v>
      </c>
      <c r="G965" s="7" t="s">
        <v>908</v>
      </c>
      <c r="H965" s="8"/>
    </row>
    <row r="966" ht="25" customHeight="1" spans="1:8">
      <c r="A966" s="6">
        <v>964</v>
      </c>
      <c r="B966" s="7" t="str">
        <f t="shared" si="214"/>
        <v>103</v>
      </c>
      <c r="C966" s="7" t="s">
        <v>663</v>
      </c>
      <c r="D966" s="7" t="s">
        <v>664</v>
      </c>
      <c r="E966" s="7" t="str">
        <f>"郑文龙"</f>
        <v>郑文龙</v>
      </c>
      <c r="F966" s="7" t="str">
        <f t="shared" si="222"/>
        <v>男</v>
      </c>
      <c r="G966" s="7" t="s">
        <v>909</v>
      </c>
      <c r="H966" s="8"/>
    </row>
    <row r="967" ht="25" customHeight="1" spans="1:8">
      <c r="A967" s="6">
        <v>965</v>
      </c>
      <c r="B967" s="7" t="str">
        <f t="shared" si="214"/>
        <v>103</v>
      </c>
      <c r="C967" s="7" t="s">
        <v>663</v>
      </c>
      <c r="D967" s="7" t="s">
        <v>664</v>
      </c>
      <c r="E967" s="7" t="str">
        <f>"郑雅天"</f>
        <v>郑雅天</v>
      </c>
      <c r="F967" s="7" t="str">
        <f t="shared" si="223"/>
        <v>女</v>
      </c>
      <c r="G967" s="7" t="s">
        <v>830</v>
      </c>
      <c r="H967" s="8"/>
    </row>
    <row r="968" ht="25" customHeight="1" spans="1:8">
      <c r="A968" s="6">
        <v>966</v>
      </c>
      <c r="B968" s="7" t="str">
        <f t="shared" si="214"/>
        <v>103</v>
      </c>
      <c r="C968" s="7" t="s">
        <v>663</v>
      </c>
      <c r="D968" s="7" t="s">
        <v>664</v>
      </c>
      <c r="E968" s="7" t="str">
        <f>"王蕗涵"</f>
        <v>王蕗涵</v>
      </c>
      <c r="F968" s="7" t="str">
        <f t="shared" si="223"/>
        <v>女</v>
      </c>
      <c r="G968" s="7" t="s">
        <v>910</v>
      </c>
      <c r="H968" s="8"/>
    </row>
    <row r="969" ht="25" customHeight="1" spans="1:8">
      <c r="A969" s="6">
        <v>967</v>
      </c>
      <c r="B969" s="7" t="str">
        <f t="shared" si="214"/>
        <v>103</v>
      </c>
      <c r="C969" s="7" t="s">
        <v>663</v>
      </c>
      <c r="D969" s="7" t="s">
        <v>664</v>
      </c>
      <c r="E969" s="7" t="str">
        <f>"李凤"</f>
        <v>李凤</v>
      </c>
      <c r="F969" s="7" t="str">
        <f t="shared" si="223"/>
        <v>女</v>
      </c>
      <c r="G969" s="7" t="s">
        <v>911</v>
      </c>
      <c r="H969" s="8"/>
    </row>
    <row r="970" ht="25" customHeight="1" spans="1:8">
      <c r="A970" s="6">
        <v>968</v>
      </c>
      <c r="B970" s="7" t="str">
        <f t="shared" si="214"/>
        <v>103</v>
      </c>
      <c r="C970" s="7" t="s">
        <v>663</v>
      </c>
      <c r="D970" s="7" t="s">
        <v>664</v>
      </c>
      <c r="E970" s="7" t="str">
        <f>"李天豪"</f>
        <v>李天豪</v>
      </c>
      <c r="F970" s="7" t="str">
        <f t="shared" ref="F970:F973" si="224">"男"</f>
        <v>男</v>
      </c>
      <c r="G970" s="7" t="s">
        <v>912</v>
      </c>
      <c r="H970" s="8"/>
    </row>
    <row r="971" ht="25" customHeight="1" spans="1:8">
      <c r="A971" s="6">
        <v>969</v>
      </c>
      <c r="B971" s="7" t="str">
        <f t="shared" si="214"/>
        <v>103</v>
      </c>
      <c r="C971" s="7" t="s">
        <v>663</v>
      </c>
      <c r="D971" s="7" t="s">
        <v>664</v>
      </c>
      <c r="E971" s="7" t="str">
        <f>"曾博"</f>
        <v>曾博</v>
      </c>
      <c r="F971" s="7" t="str">
        <f t="shared" si="224"/>
        <v>男</v>
      </c>
      <c r="G971" s="7" t="s">
        <v>913</v>
      </c>
      <c r="H971" s="8"/>
    </row>
    <row r="972" ht="25" customHeight="1" spans="1:8">
      <c r="A972" s="6">
        <v>970</v>
      </c>
      <c r="B972" s="7" t="str">
        <f t="shared" si="214"/>
        <v>103</v>
      </c>
      <c r="C972" s="7" t="s">
        <v>663</v>
      </c>
      <c r="D972" s="7" t="s">
        <v>664</v>
      </c>
      <c r="E972" s="7" t="str">
        <f>"王立焕"</f>
        <v>王立焕</v>
      </c>
      <c r="F972" s="7" t="str">
        <f t="shared" ref="F972:F977" si="225">"女"</f>
        <v>女</v>
      </c>
      <c r="G972" s="7" t="s">
        <v>914</v>
      </c>
      <c r="H972" s="8"/>
    </row>
    <row r="973" ht="25" customHeight="1" spans="1:8">
      <c r="A973" s="6">
        <v>971</v>
      </c>
      <c r="B973" s="7" t="str">
        <f t="shared" si="214"/>
        <v>103</v>
      </c>
      <c r="C973" s="7" t="s">
        <v>663</v>
      </c>
      <c r="D973" s="7" t="s">
        <v>664</v>
      </c>
      <c r="E973" s="7" t="str">
        <f>"黎诗明"</f>
        <v>黎诗明</v>
      </c>
      <c r="F973" s="7" t="str">
        <f t="shared" si="224"/>
        <v>男</v>
      </c>
      <c r="G973" s="7" t="s">
        <v>915</v>
      </c>
      <c r="H973" s="8"/>
    </row>
    <row r="974" ht="25" customHeight="1" spans="1:8">
      <c r="A974" s="6">
        <v>972</v>
      </c>
      <c r="B974" s="7" t="str">
        <f t="shared" si="214"/>
        <v>103</v>
      </c>
      <c r="C974" s="7" t="s">
        <v>663</v>
      </c>
      <c r="D974" s="7" t="s">
        <v>664</v>
      </c>
      <c r="E974" s="7" t="str">
        <f>"邢贞娜"</f>
        <v>邢贞娜</v>
      </c>
      <c r="F974" s="7" t="str">
        <f t="shared" si="225"/>
        <v>女</v>
      </c>
      <c r="G974" s="7" t="s">
        <v>840</v>
      </c>
      <c r="H974" s="8"/>
    </row>
    <row r="975" ht="25" customHeight="1" spans="1:8">
      <c r="A975" s="6">
        <v>973</v>
      </c>
      <c r="B975" s="7" t="str">
        <f t="shared" si="214"/>
        <v>103</v>
      </c>
      <c r="C975" s="7" t="s">
        <v>663</v>
      </c>
      <c r="D975" s="7" t="s">
        <v>664</v>
      </c>
      <c r="E975" s="7" t="str">
        <f>"王棋棋"</f>
        <v>王棋棋</v>
      </c>
      <c r="F975" s="7" t="str">
        <f t="shared" si="225"/>
        <v>女</v>
      </c>
      <c r="G975" s="7" t="s">
        <v>916</v>
      </c>
      <c r="H975" s="8"/>
    </row>
    <row r="976" ht="25" customHeight="1" spans="1:8">
      <c r="A976" s="6">
        <v>974</v>
      </c>
      <c r="B976" s="7" t="str">
        <f t="shared" si="214"/>
        <v>103</v>
      </c>
      <c r="C976" s="7" t="s">
        <v>663</v>
      </c>
      <c r="D976" s="7" t="s">
        <v>664</v>
      </c>
      <c r="E976" s="7" t="str">
        <f>"邓喜文"</f>
        <v>邓喜文</v>
      </c>
      <c r="F976" s="7" t="str">
        <f t="shared" si="225"/>
        <v>女</v>
      </c>
      <c r="G976" s="7" t="s">
        <v>917</v>
      </c>
      <c r="H976" s="8"/>
    </row>
    <row r="977" ht="25" customHeight="1" spans="1:8">
      <c r="A977" s="6">
        <v>975</v>
      </c>
      <c r="B977" s="7" t="str">
        <f t="shared" si="214"/>
        <v>103</v>
      </c>
      <c r="C977" s="7" t="s">
        <v>663</v>
      </c>
      <c r="D977" s="7" t="s">
        <v>664</v>
      </c>
      <c r="E977" s="7" t="str">
        <f>"陈奕霏"</f>
        <v>陈奕霏</v>
      </c>
      <c r="F977" s="7" t="str">
        <f t="shared" si="225"/>
        <v>女</v>
      </c>
      <c r="G977" s="7" t="s">
        <v>918</v>
      </c>
      <c r="H977" s="8"/>
    </row>
    <row r="978" ht="25" customHeight="1" spans="1:8">
      <c r="A978" s="6">
        <v>976</v>
      </c>
      <c r="B978" s="7" t="str">
        <f t="shared" si="214"/>
        <v>103</v>
      </c>
      <c r="C978" s="7" t="s">
        <v>663</v>
      </c>
      <c r="D978" s="7" t="s">
        <v>664</v>
      </c>
      <c r="E978" s="7" t="str">
        <f>"符芊睿"</f>
        <v>符芊睿</v>
      </c>
      <c r="F978" s="7" t="str">
        <f t="shared" ref="F978:F983" si="226">"男"</f>
        <v>男</v>
      </c>
      <c r="G978" s="7" t="s">
        <v>919</v>
      </c>
      <c r="H978" s="8"/>
    </row>
    <row r="979" ht="25" customHeight="1" spans="1:8">
      <c r="A979" s="6">
        <v>977</v>
      </c>
      <c r="B979" s="7" t="str">
        <f t="shared" si="214"/>
        <v>103</v>
      </c>
      <c r="C979" s="7" t="s">
        <v>663</v>
      </c>
      <c r="D979" s="7" t="s">
        <v>664</v>
      </c>
      <c r="E979" s="7" t="str">
        <f>"曾彬"</f>
        <v>曾彬</v>
      </c>
      <c r="F979" s="7" t="str">
        <f t="shared" si="226"/>
        <v>男</v>
      </c>
      <c r="G979" s="7" t="s">
        <v>50</v>
      </c>
      <c r="H979" s="8"/>
    </row>
    <row r="980" ht="25" customHeight="1" spans="1:8">
      <c r="A980" s="6">
        <v>978</v>
      </c>
      <c r="B980" s="7" t="str">
        <f t="shared" si="214"/>
        <v>103</v>
      </c>
      <c r="C980" s="7" t="s">
        <v>663</v>
      </c>
      <c r="D980" s="7" t="s">
        <v>664</v>
      </c>
      <c r="E980" s="7" t="str">
        <f>"苏美如"</f>
        <v>苏美如</v>
      </c>
      <c r="F980" s="7" t="str">
        <f t="shared" ref="F980:F982" si="227">"女"</f>
        <v>女</v>
      </c>
      <c r="G980" s="7" t="s">
        <v>920</v>
      </c>
      <c r="H980" s="8"/>
    </row>
    <row r="981" ht="25" customHeight="1" spans="1:8">
      <c r="A981" s="6">
        <v>979</v>
      </c>
      <c r="B981" s="7" t="str">
        <f t="shared" si="214"/>
        <v>103</v>
      </c>
      <c r="C981" s="7" t="s">
        <v>663</v>
      </c>
      <c r="D981" s="7" t="s">
        <v>664</v>
      </c>
      <c r="E981" s="7" t="str">
        <f>"陈利晶"</f>
        <v>陈利晶</v>
      </c>
      <c r="F981" s="7" t="str">
        <f t="shared" si="227"/>
        <v>女</v>
      </c>
      <c r="G981" s="7" t="s">
        <v>576</v>
      </c>
      <c r="H981" s="8"/>
    </row>
    <row r="982" ht="25" customHeight="1" spans="1:8">
      <c r="A982" s="6">
        <v>980</v>
      </c>
      <c r="B982" s="7" t="str">
        <f t="shared" si="214"/>
        <v>103</v>
      </c>
      <c r="C982" s="7" t="s">
        <v>663</v>
      </c>
      <c r="D982" s="7" t="s">
        <v>664</v>
      </c>
      <c r="E982" s="7" t="str">
        <f>"邢文静"</f>
        <v>邢文静</v>
      </c>
      <c r="F982" s="7" t="str">
        <f t="shared" si="227"/>
        <v>女</v>
      </c>
      <c r="G982" s="7" t="s">
        <v>921</v>
      </c>
      <c r="H982" s="8"/>
    </row>
    <row r="983" ht="25" customHeight="1" spans="1:8">
      <c r="A983" s="6">
        <v>981</v>
      </c>
      <c r="B983" s="7" t="str">
        <f t="shared" si="214"/>
        <v>103</v>
      </c>
      <c r="C983" s="7" t="s">
        <v>663</v>
      </c>
      <c r="D983" s="7" t="s">
        <v>664</v>
      </c>
      <c r="E983" s="7" t="str">
        <f>"冉知立"</f>
        <v>冉知立</v>
      </c>
      <c r="F983" s="7" t="str">
        <f t="shared" si="226"/>
        <v>男</v>
      </c>
      <c r="G983" s="7" t="s">
        <v>922</v>
      </c>
      <c r="H983" s="8"/>
    </row>
    <row r="984" ht="25" customHeight="1" spans="1:8">
      <c r="A984" s="6">
        <v>982</v>
      </c>
      <c r="B984" s="7" t="str">
        <f t="shared" si="214"/>
        <v>103</v>
      </c>
      <c r="C984" s="7" t="s">
        <v>663</v>
      </c>
      <c r="D984" s="7" t="s">
        <v>664</v>
      </c>
      <c r="E984" s="7" t="str">
        <f>"黄燕"</f>
        <v>黄燕</v>
      </c>
      <c r="F984" s="7" t="str">
        <f>"女"</f>
        <v>女</v>
      </c>
      <c r="G984" s="7" t="s">
        <v>923</v>
      </c>
      <c r="H984" s="8"/>
    </row>
    <row r="985" ht="25" customHeight="1" spans="1:8">
      <c r="A985" s="6">
        <v>983</v>
      </c>
      <c r="B985" s="7" t="str">
        <f t="shared" si="214"/>
        <v>103</v>
      </c>
      <c r="C985" s="7" t="s">
        <v>663</v>
      </c>
      <c r="D985" s="7" t="s">
        <v>664</v>
      </c>
      <c r="E985" s="7" t="str">
        <f>"王云"</f>
        <v>王云</v>
      </c>
      <c r="F985" s="7" t="str">
        <f t="shared" ref="F985:F990" si="228">"男"</f>
        <v>男</v>
      </c>
      <c r="G985" s="7" t="s">
        <v>924</v>
      </c>
      <c r="H985" s="8"/>
    </row>
    <row r="986" ht="25" customHeight="1" spans="1:8">
      <c r="A986" s="6">
        <v>984</v>
      </c>
      <c r="B986" s="7" t="str">
        <f t="shared" si="214"/>
        <v>103</v>
      </c>
      <c r="C986" s="7" t="s">
        <v>663</v>
      </c>
      <c r="D986" s="7" t="s">
        <v>664</v>
      </c>
      <c r="E986" s="7" t="str">
        <f>"罗俊杰"</f>
        <v>罗俊杰</v>
      </c>
      <c r="F986" s="7" t="str">
        <f t="shared" si="228"/>
        <v>男</v>
      </c>
      <c r="G986" s="7" t="s">
        <v>925</v>
      </c>
      <c r="H986" s="8"/>
    </row>
    <row r="987" ht="25" customHeight="1" spans="1:8">
      <c r="A987" s="6">
        <v>985</v>
      </c>
      <c r="B987" s="7" t="str">
        <f t="shared" si="214"/>
        <v>103</v>
      </c>
      <c r="C987" s="7" t="s">
        <v>663</v>
      </c>
      <c r="D987" s="7" t="s">
        <v>664</v>
      </c>
      <c r="E987" s="7" t="str">
        <f>"罗海璇"</f>
        <v>罗海璇</v>
      </c>
      <c r="F987" s="7" t="str">
        <f t="shared" si="228"/>
        <v>男</v>
      </c>
      <c r="G987" s="7" t="s">
        <v>926</v>
      </c>
      <c r="H987" s="8"/>
    </row>
    <row r="988" ht="25" customHeight="1" spans="1:8">
      <c r="A988" s="6">
        <v>986</v>
      </c>
      <c r="B988" s="7" t="str">
        <f t="shared" si="214"/>
        <v>103</v>
      </c>
      <c r="C988" s="7" t="s">
        <v>663</v>
      </c>
      <c r="D988" s="7" t="s">
        <v>664</v>
      </c>
      <c r="E988" s="7" t="str">
        <f>"李佳"</f>
        <v>李佳</v>
      </c>
      <c r="F988" s="7" t="str">
        <f t="shared" si="228"/>
        <v>男</v>
      </c>
      <c r="G988" s="7" t="s">
        <v>927</v>
      </c>
      <c r="H988" s="8"/>
    </row>
    <row r="989" ht="25" customHeight="1" spans="1:8">
      <c r="A989" s="6">
        <v>987</v>
      </c>
      <c r="B989" s="7" t="str">
        <f t="shared" si="214"/>
        <v>103</v>
      </c>
      <c r="C989" s="7" t="s">
        <v>663</v>
      </c>
      <c r="D989" s="7" t="s">
        <v>664</v>
      </c>
      <c r="E989" s="7" t="str">
        <f>"吴淑汉"</f>
        <v>吴淑汉</v>
      </c>
      <c r="F989" s="7" t="str">
        <f t="shared" si="228"/>
        <v>男</v>
      </c>
      <c r="G989" s="7" t="s">
        <v>928</v>
      </c>
      <c r="H989" s="8"/>
    </row>
    <row r="990" ht="25" customHeight="1" spans="1:8">
      <c r="A990" s="6">
        <v>988</v>
      </c>
      <c r="B990" s="7" t="str">
        <f t="shared" si="214"/>
        <v>103</v>
      </c>
      <c r="C990" s="7" t="s">
        <v>663</v>
      </c>
      <c r="D990" s="7" t="s">
        <v>664</v>
      </c>
      <c r="E990" s="7" t="str">
        <f>"王积从"</f>
        <v>王积从</v>
      </c>
      <c r="F990" s="7" t="str">
        <f t="shared" si="228"/>
        <v>男</v>
      </c>
      <c r="G990" s="7" t="s">
        <v>929</v>
      </c>
      <c r="H990" s="8"/>
    </row>
    <row r="991" ht="25" customHeight="1" spans="1:8">
      <c r="A991" s="6">
        <v>989</v>
      </c>
      <c r="B991" s="7" t="str">
        <f t="shared" si="214"/>
        <v>103</v>
      </c>
      <c r="C991" s="7" t="s">
        <v>663</v>
      </c>
      <c r="D991" s="7" t="s">
        <v>664</v>
      </c>
      <c r="E991" s="7" t="str">
        <f>"吴启琪"</f>
        <v>吴启琪</v>
      </c>
      <c r="F991" s="7" t="str">
        <f>"女"</f>
        <v>女</v>
      </c>
      <c r="G991" s="7" t="s">
        <v>930</v>
      </c>
      <c r="H991" s="8"/>
    </row>
    <row r="992" ht="25" customHeight="1" spans="1:8">
      <c r="A992" s="6">
        <v>990</v>
      </c>
      <c r="B992" s="7" t="str">
        <f t="shared" si="214"/>
        <v>103</v>
      </c>
      <c r="C992" s="7" t="s">
        <v>663</v>
      </c>
      <c r="D992" s="7" t="s">
        <v>664</v>
      </c>
      <c r="E992" s="7" t="str">
        <f>"卢传晟"</f>
        <v>卢传晟</v>
      </c>
      <c r="F992" s="7" t="str">
        <f t="shared" ref="F992:F998" si="229">"男"</f>
        <v>男</v>
      </c>
      <c r="G992" s="7" t="s">
        <v>931</v>
      </c>
      <c r="H992" s="8"/>
    </row>
    <row r="993" ht="25" customHeight="1" spans="1:8">
      <c r="A993" s="6">
        <v>991</v>
      </c>
      <c r="B993" s="7" t="str">
        <f t="shared" si="214"/>
        <v>103</v>
      </c>
      <c r="C993" s="7" t="s">
        <v>663</v>
      </c>
      <c r="D993" s="7" t="s">
        <v>664</v>
      </c>
      <c r="E993" s="7" t="str">
        <f>"黄虹"</f>
        <v>黄虹</v>
      </c>
      <c r="F993" s="7" t="str">
        <f>"女"</f>
        <v>女</v>
      </c>
      <c r="G993" s="7" t="s">
        <v>449</v>
      </c>
      <c r="H993" s="8"/>
    </row>
    <row r="994" ht="25" customHeight="1" spans="1:8">
      <c r="A994" s="6">
        <v>992</v>
      </c>
      <c r="B994" s="7" t="str">
        <f t="shared" si="214"/>
        <v>103</v>
      </c>
      <c r="C994" s="7" t="s">
        <v>663</v>
      </c>
      <c r="D994" s="7" t="s">
        <v>664</v>
      </c>
      <c r="E994" s="7" t="str">
        <f>"郑宇"</f>
        <v>郑宇</v>
      </c>
      <c r="F994" s="7" t="str">
        <f t="shared" si="229"/>
        <v>男</v>
      </c>
      <c r="G994" s="7" t="s">
        <v>932</v>
      </c>
      <c r="H994" s="8"/>
    </row>
    <row r="995" ht="25" customHeight="1" spans="1:8">
      <c r="A995" s="6">
        <v>993</v>
      </c>
      <c r="B995" s="7" t="str">
        <f t="shared" si="214"/>
        <v>103</v>
      </c>
      <c r="C995" s="7" t="s">
        <v>663</v>
      </c>
      <c r="D995" s="7" t="s">
        <v>664</v>
      </c>
      <c r="E995" s="7" t="str">
        <f>"冯琨"</f>
        <v>冯琨</v>
      </c>
      <c r="F995" s="7" t="str">
        <f t="shared" si="229"/>
        <v>男</v>
      </c>
      <c r="G995" s="7" t="s">
        <v>933</v>
      </c>
      <c r="H995" s="8"/>
    </row>
    <row r="996" ht="25" customHeight="1" spans="1:8">
      <c r="A996" s="6">
        <v>994</v>
      </c>
      <c r="B996" s="7" t="str">
        <f t="shared" si="214"/>
        <v>103</v>
      </c>
      <c r="C996" s="7" t="s">
        <v>663</v>
      </c>
      <c r="D996" s="7" t="s">
        <v>664</v>
      </c>
      <c r="E996" s="7" t="str">
        <f>"许焕铭"</f>
        <v>许焕铭</v>
      </c>
      <c r="F996" s="7" t="str">
        <f t="shared" si="229"/>
        <v>男</v>
      </c>
      <c r="G996" s="7" t="s">
        <v>934</v>
      </c>
      <c r="H996" s="8"/>
    </row>
    <row r="997" ht="25" customHeight="1" spans="1:8">
      <c r="A997" s="6">
        <v>995</v>
      </c>
      <c r="B997" s="7" t="str">
        <f t="shared" si="214"/>
        <v>103</v>
      </c>
      <c r="C997" s="7" t="s">
        <v>663</v>
      </c>
      <c r="D997" s="7" t="s">
        <v>664</v>
      </c>
      <c r="E997" s="7" t="str">
        <f>"黄权"</f>
        <v>黄权</v>
      </c>
      <c r="F997" s="7" t="str">
        <f t="shared" si="229"/>
        <v>男</v>
      </c>
      <c r="G997" s="7" t="s">
        <v>935</v>
      </c>
      <c r="H997" s="8"/>
    </row>
    <row r="998" ht="25" customHeight="1" spans="1:8">
      <c r="A998" s="6">
        <v>996</v>
      </c>
      <c r="B998" s="7" t="str">
        <f t="shared" si="214"/>
        <v>103</v>
      </c>
      <c r="C998" s="7" t="s">
        <v>663</v>
      </c>
      <c r="D998" s="7" t="s">
        <v>664</v>
      </c>
      <c r="E998" s="7" t="str">
        <f>"翁明浩"</f>
        <v>翁明浩</v>
      </c>
      <c r="F998" s="7" t="str">
        <f t="shared" si="229"/>
        <v>男</v>
      </c>
      <c r="G998" s="7" t="s">
        <v>936</v>
      </c>
      <c r="H998" s="8"/>
    </row>
    <row r="999" ht="25" customHeight="1" spans="1:8">
      <c r="A999" s="6">
        <v>997</v>
      </c>
      <c r="B999" s="7" t="str">
        <f t="shared" si="214"/>
        <v>103</v>
      </c>
      <c r="C999" s="7" t="s">
        <v>663</v>
      </c>
      <c r="D999" s="7" t="s">
        <v>664</v>
      </c>
      <c r="E999" s="7" t="str">
        <f>"黎亮豆"</f>
        <v>黎亮豆</v>
      </c>
      <c r="F999" s="7" t="str">
        <f t="shared" ref="F999:F1005" si="230">"女"</f>
        <v>女</v>
      </c>
      <c r="G999" s="7" t="s">
        <v>937</v>
      </c>
      <c r="H999" s="8"/>
    </row>
    <row r="1000" ht="25" customHeight="1" spans="1:8">
      <c r="A1000" s="6">
        <v>998</v>
      </c>
      <c r="B1000" s="7" t="str">
        <f t="shared" ref="B1000:B1063" si="231">"103"</f>
        <v>103</v>
      </c>
      <c r="C1000" s="7" t="s">
        <v>663</v>
      </c>
      <c r="D1000" s="7" t="s">
        <v>664</v>
      </c>
      <c r="E1000" s="7" t="str">
        <f>"文继顺"</f>
        <v>文继顺</v>
      </c>
      <c r="F1000" s="7" t="str">
        <f>"男"</f>
        <v>男</v>
      </c>
      <c r="G1000" s="7" t="s">
        <v>251</v>
      </c>
      <c r="H1000" s="8"/>
    </row>
    <row r="1001" ht="25" customHeight="1" spans="1:8">
      <c r="A1001" s="6">
        <v>999</v>
      </c>
      <c r="B1001" s="7" t="str">
        <f t="shared" si="231"/>
        <v>103</v>
      </c>
      <c r="C1001" s="7" t="s">
        <v>663</v>
      </c>
      <c r="D1001" s="7" t="s">
        <v>664</v>
      </c>
      <c r="E1001" s="7" t="str">
        <f>"林巧"</f>
        <v>林巧</v>
      </c>
      <c r="F1001" s="7" t="str">
        <f t="shared" si="230"/>
        <v>女</v>
      </c>
      <c r="G1001" s="7" t="s">
        <v>938</v>
      </c>
      <c r="H1001" s="8"/>
    </row>
    <row r="1002" ht="25" customHeight="1" spans="1:8">
      <c r="A1002" s="6">
        <v>1000</v>
      </c>
      <c r="B1002" s="7" t="str">
        <f t="shared" si="231"/>
        <v>103</v>
      </c>
      <c r="C1002" s="7" t="s">
        <v>663</v>
      </c>
      <c r="D1002" s="7" t="s">
        <v>664</v>
      </c>
      <c r="E1002" s="7" t="str">
        <f>"陈凤焕"</f>
        <v>陈凤焕</v>
      </c>
      <c r="F1002" s="7" t="str">
        <f t="shared" si="230"/>
        <v>女</v>
      </c>
      <c r="G1002" s="7" t="s">
        <v>939</v>
      </c>
      <c r="H1002" s="8"/>
    </row>
    <row r="1003" ht="25" customHeight="1" spans="1:8">
      <c r="A1003" s="6">
        <v>1001</v>
      </c>
      <c r="B1003" s="7" t="str">
        <f t="shared" si="231"/>
        <v>103</v>
      </c>
      <c r="C1003" s="7" t="s">
        <v>663</v>
      </c>
      <c r="D1003" s="7" t="s">
        <v>664</v>
      </c>
      <c r="E1003" s="7" t="str">
        <f>"陈淑婷"</f>
        <v>陈淑婷</v>
      </c>
      <c r="F1003" s="7" t="str">
        <f t="shared" si="230"/>
        <v>女</v>
      </c>
      <c r="G1003" s="7" t="s">
        <v>940</v>
      </c>
      <c r="H1003" s="8"/>
    </row>
    <row r="1004" ht="25" customHeight="1" spans="1:8">
      <c r="A1004" s="6">
        <v>1002</v>
      </c>
      <c r="B1004" s="7" t="str">
        <f t="shared" si="231"/>
        <v>103</v>
      </c>
      <c r="C1004" s="7" t="s">
        <v>663</v>
      </c>
      <c r="D1004" s="7" t="s">
        <v>664</v>
      </c>
      <c r="E1004" s="7" t="str">
        <f>"龙倩倩"</f>
        <v>龙倩倩</v>
      </c>
      <c r="F1004" s="7" t="str">
        <f t="shared" si="230"/>
        <v>女</v>
      </c>
      <c r="G1004" s="7" t="s">
        <v>941</v>
      </c>
      <c r="H1004" s="8"/>
    </row>
    <row r="1005" ht="25" customHeight="1" spans="1:8">
      <c r="A1005" s="6">
        <v>1003</v>
      </c>
      <c r="B1005" s="7" t="str">
        <f t="shared" si="231"/>
        <v>103</v>
      </c>
      <c r="C1005" s="7" t="s">
        <v>663</v>
      </c>
      <c r="D1005" s="7" t="s">
        <v>664</v>
      </c>
      <c r="E1005" s="7" t="str">
        <f>"李秋桦"</f>
        <v>李秋桦</v>
      </c>
      <c r="F1005" s="7" t="str">
        <f t="shared" si="230"/>
        <v>女</v>
      </c>
      <c r="G1005" s="7" t="s">
        <v>942</v>
      </c>
      <c r="H1005" s="8"/>
    </row>
    <row r="1006" ht="25" customHeight="1" spans="1:8">
      <c r="A1006" s="6">
        <v>1004</v>
      </c>
      <c r="B1006" s="7" t="str">
        <f t="shared" si="231"/>
        <v>103</v>
      </c>
      <c r="C1006" s="7" t="s">
        <v>663</v>
      </c>
      <c r="D1006" s="7" t="s">
        <v>664</v>
      </c>
      <c r="E1006" s="7" t="str">
        <f>"林绍龙"</f>
        <v>林绍龙</v>
      </c>
      <c r="F1006" s="7" t="str">
        <f>"男"</f>
        <v>男</v>
      </c>
      <c r="G1006" s="7" t="s">
        <v>943</v>
      </c>
      <c r="H1006" s="8"/>
    </row>
    <row r="1007" ht="25" customHeight="1" spans="1:8">
      <c r="A1007" s="6">
        <v>1005</v>
      </c>
      <c r="B1007" s="7" t="str">
        <f t="shared" si="231"/>
        <v>103</v>
      </c>
      <c r="C1007" s="7" t="s">
        <v>663</v>
      </c>
      <c r="D1007" s="7" t="s">
        <v>664</v>
      </c>
      <c r="E1007" s="7" t="str">
        <f>"黄彩情"</f>
        <v>黄彩情</v>
      </c>
      <c r="F1007" s="7" t="str">
        <f t="shared" ref="F1007:F1012" si="232">"女"</f>
        <v>女</v>
      </c>
      <c r="G1007" s="7" t="s">
        <v>944</v>
      </c>
      <c r="H1007" s="8"/>
    </row>
    <row r="1008" ht="25" customHeight="1" spans="1:8">
      <c r="A1008" s="6">
        <v>1006</v>
      </c>
      <c r="B1008" s="7" t="str">
        <f t="shared" si="231"/>
        <v>103</v>
      </c>
      <c r="C1008" s="7" t="s">
        <v>663</v>
      </c>
      <c r="D1008" s="7" t="s">
        <v>664</v>
      </c>
      <c r="E1008" s="7" t="str">
        <f>"何瑞波"</f>
        <v>何瑞波</v>
      </c>
      <c r="F1008" s="7" t="str">
        <f>"男"</f>
        <v>男</v>
      </c>
      <c r="G1008" s="7" t="s">
        <v>882</v>
      </c>
      <c r="H1008" s="8"/>
    </row>
    <row r="1009" ht="25" customHeight="1" spans="1:8">
      <c r="A1009" s="6">
        <v>1007</v>
      </c>
      <c r="B1009" s="7" t="str">
        <f t="shared" si="231"/>
        <v>103</v>
      </c>
      <c r="C1009" s="7" t="s">
        <v>663</v>
      </c>
      <c r="D1009" s="7" t="s">
        <v>664</v>
      </c>
      <c r="E1009" s="7" t="str">
        <f>"林冰"</f>
        <v>林冰</v>
      </c>
      <c r="F1009" s="7" t="str">
        <f t="shared" si="232"/>
        <v>女</v>
      </c>
      <c r="G1009" s="7" t="s">
        <v>945</v>
      </c>
      <c r="H1009" s="8"/>
    </row>
    <row r="1010" ht="25" customHeight="1" spans="1:8">
      <c r="A1010" s="6">
        <v>1008</v>
      </c>
      <c r="B1010" s="7" t="str">
        <f t="shared" si="231"/>
        <v>103</v>
      </c>
      <c r="C1010" s="7" t="s">
        <v>663</v>
      </c>
      <c r="D1010" s="7" t="s">
        <v>664</v>
      </c>
      <c r="E1010" s="7" t="str">
        <f>"邢婉贞"</f>
        <v>邢婉贞</v>
      </c>
      <c r="F1010" s="7" t="str">
        <f t="shared" si="232"/>
        <v>女</v>
      </c>
      <c r="G1010" s="7" t="s">
        <v>579</v>
      </c>
      <c r="H1010" s="8"/>
    </row>
    <row r="1011" ht="25" customHeight="1" spans="1:8">
      <c r="A1011" s="6">
        <v>1009</v>
      </c>
      <c r="B1011" s="7" t="str">
        <f t="shared" si="231"/>
        <v>103</v>
      </c>
      <c r="C1011" s="7" t="s">
        <v>663</v>
      </c>
      <c r="D1011" s="7" t="s">
        <v>664</v>
      </c>
      <c r="E1011" s="7" t="str">
        <f>"吴诗"</f>
        <v>吴诗</v>
      </c>
      <c r="F1011" s="7" t="str">
        <f t="shared" si="232"/>
        <v>女</v>
      </c>
      <c r="G1011" s="7" t="s">
        <v>946</v>
      </c>
      <c r="H1011" s="8"/>
    </row>
    <row r="1012" ht="25" customHeight="1" spans="1:8">
      <c r="A1012" s="6">
        <v>1010</v>
      </c>
      <c r="B1012" s="7" t="str">
        <f t="shared" si="231"/>
        <v>103</v>
      </c>
      <c r="C1012" s="7" t="s">
        <v>663</v>
      </c>
      <c r="D1012" s="7" t="s">
        <v>664</v>
      </c>
      <c r="E1012" s="7" t="str">
        <f>"李颖"</f>
        <v>李颖</v>
      </c>
      <c r="F1012" s="7" t="str">
        <f t="shared" si="232"/>
        <v>女</v>
      </c>
      <c r="G1012" s="7" t="s">
        <v>262</v>
      </c>
      <c r="H1012" s="8"/>
    </row>
    <row r="1013" ht="25" customHeight="1" spans="1:8">
      <c r="A1013" s="6">
        <v>1011</v>
      </c>
      <c r="B1013" s="7" t="str">
        <f t="shared" si="231"/>
        <v>103</v>
      </c>
      <c r="C1013" s="7" t="s">
        <v>663</v>
      </c>
      <c r="D1013" s="7" t="s">
        <v>664</v>
      </c>
      <c r="E1013" s="7" t="str">
        <f>"何天"</f>
        <v>何天</v>
      </c>
      <c r="F1013" s="7" t="str">
        <f t="shared" ref="F1013:F1015" si="233">"男"</f>
        <v>男</v>
      </c>
      <c r="G1013" s="7" t="s">
        <v>947</v>
      </c>
      <c r="H1013" s="8"/>
    </row>
    <row r="1014" ht="25" customHeight="1" spans="1:8">
      <c r="A1014" s="6">
        <v>1012</v>
      </c>
      <c r="B1014" s="7" t="str">
        <f t="shared" si="231"/>
        <v>103</v>
      </c>
      <c r="C1014" s="7" t="s">
        <v>663</v>
      </c>
      <c r="D1014" s="7" t="s">
        <v>664</v>
      </c>
      <c r="E1014" s="7" t="str">
        <f>"陈秀楠"</f>
        <v>陈秀楠</v>
      </c>
      <c r="F1014" s="7" t="str">
        <f t="shared" si="233"/>
        <v>男</v>
      </c>
      <c r="G1014" s="7" t="s">
        <v>286</v>
      </c>
      <c r="H1014" s="8"/>
    </row>
    <row r="1015" ht="25" customHeight="1" spans="1:8">
      <c r="A1015" s="6">
        <v>1013</v>
      </c>
      <c r="B1015" s="7" t="str">
        <f t="shared" si="231"/>
        <v>103</v>
      </c>
      <c r="C1015" s="7" t="s">
        <v>663</v>
      </c>
      <c r="D1015" s="7" t="s">
        <v>664</v>
      </c>
      <c r="E1015" s="7" t="str">
        <f>"吴英松"</f>
        <v>吴英松</v>
      </c>
      <c r="F1015" s="7" t="str">
        <f t="shared" si="233"/>
        <v>男</v>
      </c>
      <c r="G1015" s="7" t="s">
        <v>948</v>
      </c>
      <c r="H1015" s="8"/>
    </row>
    <row r="1016" ht="25" customHeight="1" spans="1:8">
      <c r="A1016" s="6">
        <v>1014</v>
      </c>
      <c r="B1016" s="7" t="str">
        <f t="shared" si="231"/>
        <v>103</v>
      </c>
      <c r="C1016" s="7" t="s">
        <v>663</v>
      </c>
      <c r="D1016" s="7" t="s">
        <v>664</v>
      </c>
      <c r="E1016" s="7" t="str">
        <f>"陈嘉玲"</f>
        <v>陈嘉玲</v>
      </c>
      <c r="F1016" s="7" t="str">
        <f t="shared" ref="F1016:F1020" si="234">"女"</f>
        <v>女</v>
      </c>
      <c r="G1016" s="7" t="s">
        <v>949</v>
      </c>
      <c r="H1016" s="8"/>
    </row>
    <row r="1017" ht="25" customHeight="1" spans="1:8">
      <c r="A1017" s="6">
        <v>1015</v>
      </c>
      <c r="B1017" s="7" t="str">
        <f t="shared" si="231"/>
        <v>103</v>
      </c>
      <c r="C1017" s="7" t="s">
        <v>663</v>
      </c>
      <c r="D1017" s="7" t="s">
        <v>664</v>
      </c>
      <c r="E1017" s="7" t="str">
        <f>"陈奕宇"</f>
        <v>陈奕宇</v>
      </c>
      <c r="F1017" s="7" t="str">
        <f t="shared" ref="F1017:F1021" si="235">"男"</f>
        <v>男</v>
      </c>
      <c r="G1017" s="7" t="s">
        <v>950</v>
      </c>
      <c r="H1017" s="8"/>
    </row>
    <row r="1018" ht="25" customHeight="1" spans="1:8">
      <c r="A1018" s="6">
        <v>1016</v>
      </c>
      <c r="B1018" s="7" t="str">
        <f t="shared" si="231"/>
        <v>103</v>
      </c>
      <c r="C1018" s="7" t="s">
        <v>663</v>
      </c>
      <c r="D1018" s="7" t="s">
        <v>664</v>
      </c>
      <c r="E1018" s="7" t="str">
        <f>"张梦娟"</f>
        <v>张梦娟</v>
      </c>
      <c r="F1018" s="7" t="str">
        <f t="shared" si="234"/>
        <v>女</v>
      </c>
      <c r="G1018" s="7" t="s">
        <v>951</v>
      </c>
      <c r="H1018" s="8"/>
    </row>
    <row r="1019" ht="25" customHeight="1" spans="1:8">
      <c r="A1019" s="6">
        <v>1017</v>
      </c>
      <c r="B1019" s="7" t="str">
        <f t="shared" si="231"/>
        <v>103</v>
      </c>
      <c r="C1019" s="7" t="s">
        <v>663</v>
      </c>
      <c r="D1019" s="7" t="s">
        <v>664</v>
      </c>
      <c r="E1019" s="7" t="str">
        <f>"陈烨"</f>
        <v>陈烨</v>
      </c>
      <c r="F1019" s="7" t="str">
        <f t="shared" si="235"/>
        <v>男</v>
      </c>
      <c r="G1019" s="7" t="s">
        <v>952</v>
      </c>
      <c r="H1019" s="8"/>
    </row>
    <row r="1020" ht="25" customHeight="1" spans="1:8">
      <c r="A1020" s="6">
        <v>1018</v>
      </c>
      <c r="B1020" s="7" t="str">
        <f t="shared" si="231"/>
        <v>103</v>
      </c>
      <c r="C1020" s="7" t="s">
        <v>663</v>
      </c>
      <c r="D1020" s="7" t="s">
        <v>664</v>
      </c>
      <c r="E1020" s="7" t="str">
        <f>"王惠敏"</f>
        <v>王惠敏</v>
      </c>
      <c r="F1020" s="7" t="str">
        <f t="shared" si="234"/>
        <v>女</v>
      </c>
      <c r="G1020" s="7" t="s">
        <v>953</v>
      </c>
      <c r="H1020" s="8"/>
    </row>
    <row r="1021" ht="25" customHeight="1" spans="1:8">
      <c r="A1021" s="6">
        <v>1019</v>
      </c>
      <c r="B1021" s="7" t="str">
        <f t="shared" si="231"/>
        <v>103</v>
      </c>
      <c r="C1021" s="7" t="s">
        <v>663</v>
      </c>
      <c r="D1021" s="7" t="s">
        <v>664</v>
      </c>
      <c r="E1021" s="7" t="str">
        <f>"杨和"</f>
        <v>杨和</v>
      </c>
      <c r="F1021" s="7" t="str">
        <f t="shared" si="235"/>
        <v>男</v>
      </c>
      <c r="G1021" s="7" t="s">
        <v>954</v>
      </c>
      <c r="H1021" s="8"/>
    </row>
    <row r="1022" ht="25" customHeight="1" spans="1:8">
      <c r="A1022" s="6">
        <v>1020</v>
      </c>
      <c r="B1022" s="7" t="str">
        <f t="shared" si="231"/>
        <v>103</v>
      </c>
      <c r="C1022" s="7" t="s">
        <v>663</v>
      </c>
      <c r="D1022" s="7" t="s">
        <v>664</v>
      </c>
      <c r="E1022" s="7" t="str">
        <f>"祁昱彤"</f>
        <v>祁昱彤</v>
      </c>
      <c r="F1022" s="7" t="str">
        <f t="shared" ref="F1022:F1031" si="236">"女"</f>
        <v>女</v>
      </c>
      <c r="G1022" s="7" t="s">
        <v>955</v>
      </c>
      <c r="H1022" s="8"/>
    </row>
    <row r="1023" ht="25" customHeight="1" spans="1:8">
      <c r="A1023" s="6">
        <v>1021</v>
      </c>
      <c r="B1023" s="7" t="str">
        <f t="shared" si="231"/>
        <v>103</v>
      </c>
      <c r="C1023" s="7" t="s">
        <v>663</v>
      </c>
      <c r="D1023" s="7" t="s">
        <v>664</v>
      </c>
      <c r="E1023" s="7" t="str">
        <f>"林密"</f>
        <v>林密</v>
      </c>
      <c r="F1023" s="7" t="str">
        <f t="shared" si="236"/>
        <v>女</v>
      </c>
      <c r="G1023" s="7" t="s">
        <v>956</v>
      </c>
      <c r="H1023" s="8"/>
    </row>
    <row r="1024" ht="25" customHeight="1" spans="1:8">
      <c r="A1024" s="6">
        <v>1022</v>
      </c>
      <c r="B1024" s="7" t="str">
        <f t="shared" si="231"/>
        <v>103</v>
      </c>
      <c r="C1024" s="7" t="s">
        <v>663</v>
      </c>
      <c r="D1024" s="7" t="s">
        <v>664</v>
      </c>
      <c r="E1024" s="7" t="str">
        <f>"林天凤"</f>
        <v>林天凤</v>
      </c>
      <c r="F1024" s="7" t="str">
        <f t="shared" si="236"/>
        <v>女</v>
      </c>
      <c r="G1024" s="7" t="s">
        <v>957</v>
      </c>
      <c r="H1024" s="8"/>
    </row>
    <row r="1025" ht="25" customHeight="1" spans="1:8">
      <c r="A1025" s="6">
        <v>1023</v>
      </c>
      <c r="B1025" s="7" t="str">
        <f t="shared" si="231"/>
        <v>103</v>
      </c>
      <c r="C1025" s="7" t="s">
        <v>663</v>
      </c>
      <c r="D1025" s="7" t="s">
        <v>664</v>
      </c>
      <c r="E1025" s="7" t="str">
        <f>"郑芳洁"</f>
        <v>郑芳洁</v>
      </c>
      <c r="F1025" s="7" t="str">
        <f t="shared" si="236"/>
        <v>女</v>
      </c>
      <c r="G1025" s="7" t="s">
        <v>958</v>
      </c>
      <c r="H1025" s="8"/>
    </row>
    <row r="1026" ht="25" customHeight="1" spans="1:8">
      <c r="A1026" s="6">
        <v>1024</v>
      </c>
      <c r="B1026" s="7" t="str">
        <f t="shared" si="231"/>
        <v>103</v>
      </c>
      <c r="C1026" s="7" t="s">
        <v>663</v>
      </c>
      <c r="D1026" s="7" t="s">
        <v>664</v>
      </c>
      <c r="E1026" s="7" t="str">
        <f>"韦群"</f>
        <v>韦群</v>
      </c>
      <c r="F1026" s="7" t="str">
        <f t="shared" si="236"/>
        <v>女</v>
      </c>
      <c r="G1026" s="7" t="s">
        <v>959</v>
      </c>
      <c r="H1026" s="8"/>
    </row>
    <row r="1027" ht="25" customHeight="1" spans="1:8">
      <c r="A1027" s="6">
        <v>1025</v>
      </c>
      <c r="B1027" s="7" t="str">
        <f t="shared" si="231"/>
        <v>103</v>
      </c>
      <c r="C1027" s="7" t="s">
        <v>663</v>
      </c>
      <c r="D1027" s="7" t="s">
        <v>664</v>
      </c>
      <c r="E1027" s="7" t="str">
        <f>"朱雨馨"</f>
        <v>朱雨馨</v>
      </c>
      <c r="F1027" s="7" t="str">
        <f t="shared" si="236"/>
        <v>女</v>
      </c>
      <c r="G1027" s="7" t="s">
        <v>960</v>
      </c>
      <c r="H1027" s="8"/>
    </row>
    <row r="1028" ht="25" customHeight="1" spans="1:8">
      <c r="A1028" s="6">
        <v>1026</v>
      </c>
      <c r="B1028" s="7" t="str">
        <f t="shared" si="231"/>
        <v>103</v>
      </c>
      <c r="C1028" s="7" t="s">
        <v>663</v>
      </c>
      <c r="D1028" s="7" t="s">
        <v>664</v>
      </c>
      <c r="E1028" s="7" t="str">
        <f>"陈佳欣"</f>
        <v>陈佳欣</v>
      </c>
      <c r="F1028" s="7" t="str">
        <f t="shared" si="236"/>
        <v>女</v>
      </c>
      <c r="G1028" s="7" t="s">
        <v>961</v>
      </c>
      <c r="H1028" s="8"/>
    </row>
    <row r="1029" ht="25" customHeight="1" spans="1:8">
      <c r="A1029" s="6">
        <v>1027</v>
      </c>
      <c r="B1029" s="7" t="str">
        <f t="shared" si="231"/>
        <v>103</v>
      </c>
      <c r="C1029" s="7" t="s">
        <v>663</v>
      </c>
      <c r="D1029" s="7" t="s">
        <v>664</v>
      </c>
      <c r="E1029" s="7" t="str">
        <f>"邢贞艺"</f>
        <v>邢贞艺</v>
      </c>
      <c r="F1029" s="7" t="str">
        <f t="shared" si="236"/>
        <v>女</v>
      </c>
      <c r="G1029" s="7" t="s">
        <v>962</v>
      </c>
      <c r="H1029" s="8"/>
    </row>
    <row r="1030" ht="25" customHeight="1" spans="1:8">
      <c r="A1030" s="6">
        <v>1028</v>
      </c>
      <c r="B1030" s="7" t="str">
        <f t="shared" si="231"/>
        <v>103</v>
      </c>
      <c r="C1030" s="7" t="s">
        <v>663</v>
      </c>
      <c r="D1030" s="7" t="s">
        <v>664</v>
      </c>
      <c r="E1030" s="7" t="str">
        <f>"王小妹"</f>
        <v>王小妹</v>
      </c>
      <c r="F1030" s="7" t="str">
        <f t="shared" si="236"/>
        <v>女</v>
      </c>
      <c r="G1030" s="7" t="s">
        <v>963</v>
      </c>
      <c r="H1030" s="8"/>
    </row>
    <row r="1031" ht="25" customHeight="1" spans="1:8">
      <c r="A1031" s="6">
        <v>1029</v>
      </c>
      <c r="B1031" s="7" t="str">
        <f t="shared" si="231"/>
        <v>103</v>
      </c>
      <c r="C1031" s="7" t="s">
        <v>663</v>
      </c>
      <c r="D1031" s="7" t="s">
        <v>664</v>
      </c>
      <c r="E1031" s="7" t="str">
        <f>"陈云"</f>
        <v>陈云</v>
      </c>
      <c r="F1031" s="7" t="str">
        <f t="shared" si="236"/>
        <v>女</v>
      </c>
      <c r="G1031" s="7" t="s">
        <v>964</v>
      </c>
      <c r="H1031" s="8"/>
    </row>
    <row r="1032" ht="25" customHeight="1" spans="1:8">
      <c r="A1032" s="6">
        <v>1030</v>
      </c>
      <c r="B1032" s="7" t="str">
        <f t="shared" si="231"/>
        <v>103</v>
      </c>
      <c r="C1032" s="7" t="s">
        <v>663</v>
      </c>
      <c r="D1032" s="7" t="s">
        <v>664</v>
      </c>
      <c r="E1032" s="7" t="str">
        <f>"冯学发"</f>
        <v>冯学发</v>
      </c>
      <c r="F1032" s="7" t="str">
        <f t="shared" ref="F1032:F1036" si="237">"男"</f>
        <v>男</v>
      </c>
      <c r="G1032" s="7" t="s">
        <v>755</v>
      </c>
      <c r="H1032" s="8"/>
    </row>
    <row r="1033" ht="25" customHeight="1" spans="1:8">
      <c r="A1033" s="6">
        <v>1031</v>
      </c>
      <c r="B1033" s="7" t="str">
        <f t="shared" si="231"/>
        <v>103</v>
      </c>
      <c r="C1033" s="7" t="s">
        <v>663</v>
      </c>
      <c r="D1033" s="7" t="s">
        <v>664</v>
      </c>
      <c r="E1033" s="7" t="str">
        <f>"李志慧"</f>
        <v>李志慧</v>
      </c>
      <c r="F1033" s="7" t="str">
        <f t="shared" ref="F1033:F1037" si="238">"女"</f>
        <v>女</v>
      </c>
      <c r="G1033" s="7" t="s">
        <v>965</v>
      </c>
      <c r="H1033" s="8"/>
    </row>
    <row r="1034" ht="25" customHeight="1" spans="1:8">
      <c r="A1034" s="6">
        <v>1032</v>
      </c>
      <c r="B1034" s="7" t="str">
        <f t="shared" si="231"/>
        <v>103</v>
      </c>
      <c r="C1034" s="7" t="s">
        <v>663</v>
      </c>
      <c r="D1034" s="7" t="s">
        <v>664</v>
      </c>
      <c r="E1034" s="7" t="str">
        <f>"王月华"</f>
        <v>王月华</v>
      </c>
      <c r="F1034" s="7" t="str">
        <f t="shared" si="238"/>
        <v>女</v>
      </c>
      <c r="G1034" s="7" t="s">
        <v>966</v>
      </c>
      <c r="H1034" s="8"/>
    </row>
    <row r="1035" ht="25" customHeight="1" spans="1:8">
      <c r="A1035" s="6">
        <v>1033</v>
      </c>
      <c r="B1035" s="7" t="str">
        <f t="shared" si="231"/>
        <v>103</v>
      </c>
      <c r="C1035" s="7" t="s">
        <v>663</v>
      </c>
      <c r="D1035" s="7" t="s">
        <v>664</v>
      </c>
      <c r="E1035" s="7" t="str">
        <f>"杨潇"</f>
        <v>杨潇</v>
      </c>
      <c r="F1035" s="7" t="str">
        <f t="shared" si="237"/>
        <v>男</v>
      </c>
      <c r="G1035" s="7" t="s">
        <v>967</v>
      </c>
      <c r="H1035" s="8"/>
    </row>
    <row r="1036" ht="25" customHeight="1" spans="1:8">
      <c r="A1036" s="6">
        <v>1034</v>
      </c>
      <c r="B1036" s="7" t="str">
        <f t="shared" si="231"/>
        <v>103</v>
      </c>
      <c r="C1036" s="7" t="s">
        <v>663</v>
      </c>
      <c r="D1036" s="7" t="s">
        <v>664</v>
      </c>
      <c r="E1036" s="7" t="str">
        <f>"王志恒"</f>
        <v>王志恒</v>
      </c>
      <c r="F1036" s="7" t="str">
        <f t="shared" si="237"/>
        <v>男</v>
      </c>
      <c r="G1036" s="7" t="s">
        <v>968</v>
      </c>
      <c r="H1036" s="8"/>
    </row>
    <row r="1037" ht="25" customHeight="1" spans="1:8">
      <c r="A1037" s="6">
        <v>1035</v>
      </c>
      <c r="B1037" s="7" t="str">
        <f t="shared" si="231"/>
        <v>103</v>
      </c>
      <c r="C1037" s="7" t="s">
        <v>663</v>
      </c>
      <c r="D1037" s="7" t="s">
        <v>664</v>
      </c>
      <c r="E1037" s="7" t="str">
        <f>"孙天宇"</f>
        <v>孙天宇</v>
      </c>
      <c r="F1037" s="7" t="str">
        <f t="shared" si="238"/>
        <v>女</v>
      </c>
      <c r="G1037" s="7" t="s">
        <v>969</v>
      </c>
      <c r="H1037" s="8"/>
    </row>
    <row r="1038" ht="25" customHeight="1" spans="1:8">
      <c r="A1038" s="6">
        <v>1036</v>
      </c>
      <c r="B1038" s="7" t="str">
        <f t="shared" si="231"/>
        <v>103</v>
      </c>
      <c r="C1038" s="7" t="s">
        <v>663</v>
      </c>
      <c r="D1038" s="7" t="s">
        <v>664</v>
      </c>
      <c r="E1038" s="7" t="str">
        <f>"陈封铭"</f>
        <v>陈封铭</v>
      </c>
      <c r="F1038" s="7" t="str">
        <f t="shared" ref="F1038:F1043" si="239">"男"</f>
        <v>男</v>
      </c>
      <c r="G1038" s="7" t="s">
        <v>193</v>
      </c>
      <c r="H1038" s="8"/>
    </row>
    <row r="1039" ht="25" customHeight="1" spans="1:8">
      <c r="A1039" s="6">
        <v>1037</v>
      </c>
      <c r="B1039" s="7" t="str">
        <f t="shared" si="231"/>
        <v>103</v>
      </c>
      <c r="C1039" s="7" t="s">
        <v>663</v>
      </c>
      <c r="D1039" s="7" t="s">
        <v>664</v>
      </c>
      <c r="E1039" s="7" t="str">
        <f>"陶美静"</f>
        <v>陶美静</v>
      </c>
      <c r="F1039" s="7" t="str">
        <f t="shared" ref="F1039:F1044" si="240">"女"</f>
        <v>女</v>
      </c>
      <c r="G1039" s="7" t="s">
        <v>970</v>
      </c>
      <c r="H1039" s="8"/>
    </row>
    <row r="1040" ht="25" customHeight="1" spans="1:8">
      <c r="A1040" s="6">
        <v>1038</v>
      </c>
      <c r="B1040" s="7" t="str">
        <f t="shared" si="231"/>
        <v>103</v>
      </c>
      <c r="C1040" s="7" t="s">
        <v>663</v>
      </c>
      <c r="D1040" s="7" t="s">
        <v>664</v>
      </c>
      <c r="E1040" s="7" t="str">
        <f>"谭普芳"</f>
        <v>谭普芳</v>
      </c>
      <c r="F1040" s="7" t="str">
        <f t="shared" si="240"/>
        <v>女</v>
      </c>
      <c r="G1040" s="7" t="s">
        <v>971</v>
      </c>
      <c r="H1040" s="8"/>
    </row>
    <row r="1041" ht="25" customHeight="1" spans="1:8">
      <c r="A1041" s="6">
        <v>1039</v>
      </c>
      <c r="B1041" s="7" t="str">
        <f t="shared" si="231"/>
        <v>103</v>
      </c>
      <c r="C1041" s="7" t="s">
        <v>663</v>
      </c>
      <c r="D1041" s="7" t="s">
        <v>664</v>
      </c>
      <c r="E1041" s="7" t="str">
        <f>"邢龙"</f>
        <v>邢龙</v>
      </c>
      <c r="F1041" s="7" t="str">
        <f t="shared" si="239"/>
        <v>男</v>
      </c>
      <c r="G1041" s="7" t="s">
        <v>278</v>
      </c>
      <c r="H1041" s="8"/>
    </row>
    <row r="1042" ht="25" customHeight="1" spans="1:8">
      <c r="A1042" s="6">
        <v>1040</v>
      </c>
      <c r="B1042" s="7" t="str">
        <f t="shared" si="231"/>
        <v>103</v>
      </c>
      <c r="C1042" s="7" t="s">
        <v>663</v>
      </c>
      <c r="D1042" s="7" t="s">
        <v>664</v>
      </c>
      <c r="E1042" s="7" t="str">
        <f>"云同明"</f>
        <v>云同明</v>
      </c>
      <c r="F1042" s="7" t="str">
        <f t="shared" si="239"/>
        <v>男</v>
      </c>
      <c r="G1042" s="7" t="s">
        <v>972</v>
      </c>
      <c r="H1042" s="8"/>
    </row>
    <row r="1043" ht="25" customHeight="1" spans="1:8">
      <c r="A1043" s="6">
        <v>1041</v>
      </c>
      <c r="B1043" s="7" t="str">
        <f t="shared" si="231"/>
        <v>103</v>
      </c>
      <c r="C1043" s="7" t="s">
        <v>663</v>
      </c>
      <c r="D1043" s="7" t="s">
        <v>664</v>
      </c>
      <c r="E1043" s="7" t="str">
        <f>"毛振宇"</f>
        <v>毛振宇</v>
      </c>
      <c r="F1043" s="7" t="str">
        <f t="shared" si="239"/>
        <v>男</v>
      </c>
      <c r="G1043" s="7" t="s">
        <v>973</v>
      </c>
      <c r="H1043" s="8"/>
    </row>
    <row r="1044" ht="25" customHeight="1" spans="1:8">
      <c r="A1044" s="6">
        <v>1042</v>
      </c>
      <c r="B1044" s="7" t="str">
        <f t="shared" si="231"/>
        <v>103</v>
      </c>
      <c r="C1044" s="7" t="s">
        <v>663</v>
      </c>
      <c r="D1044" s="7" t="s">
        <v>664</v>
      </c>
      <c r="E1044" s="7" t="str">
        <f>"宋晓辉"</f>
        <v>宋晓辉</v>
      </c>
      <c r="F1044" s="7" t="str">
        <f t="shared" si="240"/>
        <v>女</v>
      </c>
      <c r="G1044" s="7" t="s">
        <v>974</v>
      </c>
      <c r="H1044" s="8"/>
    </row>
    <row r="1045" ht="25" customHeight="1" spans="1:8">
      <c r="A1045" s="6">
        <v>1043</v>
      </c>
      <c r="B1045" s="7" t="str">
        <f t="shared" si="231"/>
        <v>103</v>
      </c>
      <c r="C1045" s="7" t="s">
        <v>663</v>
      </c>
      <c r="D1045" s="7" t="s">
        <v>664</v>
      </c>
      <c r="E1045" s="7" t="str">
        <f>"蒋瑞霖"</f>
        <v>蒋瑞霖</v>
      </c>
      <c r="F1045" s="7" t="str">
        <f t="shared" ref="F1045:F1049" si="241">"男"</f>
        <v>男</v>
      </c>
      <c r="G1045" s="7" t="s">
        <v>975</v>
      </c>
      <c r="H1045" s="8"/>
    </row>
    <row r="1046" ht="25" customHeight="1" spans="1:8">
      <c r="A1046" s="6">
        <v>1044</v>
      </c>
      <c r="B1046" s="7" t="str">
        <f t="shared" si="231"/>
        <v>103</v>
      </c>
      <c r="C1046" s="7" t="s">
        <v>663</v>
      </c>
      <c r="D1046" s="7" t="s">
        <v>664</v>
      </c>
      <c r="E1046" s="7" t="str">
        <f>"叶保纯"</f>
        <v>叶保纯</v>
      </c>
      <c r="F1046" s="7" t="str">
        <f t="shared" si="241"/>
        <v>男</v>
      </c>
      <c r="G1046" s="7" t="s">
        <v>976</v>
      </c>
      <c r="H1046" s="8"/>
    </row>
    <row r="1047" ht="25" customHeight="1" spans="1:8">
      <c r="A1047" s="6">
        <v>1045</v>
      </c>
      <c r="B1047" s="7" t="str">
        <f t="shared" si="231"/>
        <v>103</v>
      </c>
      <c r="C1047" s="7" t="s">
        <v>663</v>
      </c>
      <c r="D1047" s="7" t="s">
        <v>664</v>
      </c>
      <c r="E1047" s="7" t="str">
        <f>"邹正萍"</f>
        <v>邹正萍</v>
      </c>
      <c r="F1047" s="7" t="str">
        <f t="shared" ref="F1047:F1052" si="242">"女"</f>
        <v>女</v>
      </c>
      <c r="G1047" s="7" t="s">
        <v>977</v>
      </c>
      <c r="H1047" s="8"/>
    </row>
    <row r="1048" ht="25" customHeight="1" spans="1:8">
      <c r="A1048" s="6">
        <v>1046</v>
      </c>
      <c r="B1048" s="7" t="str">
        <f t="shared" si="231"/>
        <v>103</v>
      </c>
      <c r="C1048" s="7" t="s">
        <v>663</v>
      </c>
      <c r="D1048" s="7" t="s">
        <v>664</v>
      </c>
      <c r="E1048" s="7" t="str">
        <f>"王禄鹏"</f>
        <v>王禄鹏</v>
      </c>
      <c r="F1048" s="7" t="str">
        <f t="shared" si="241"/>
        <v>男</v>
      </c>
      <c r="G1048" s="7" t="s">
        <v>978</v>
      </c>
      <c r="H1048" s="8"/>
    </row>
    <row r="1049" ht="25" customHeight="1" spans="1:8">
      <c r="A1049" s="6">
        <v>1047</v>
      </c>
      <c r="B1049" s="7" t="str">
        <f t="shared" si="231"/>
        <v>103</v>
      </c>
      <c r="C1049" s="7" t="s">
        <v>663</v>
      </c>
      <c r="D1049" s="7" t="s">
        <v>664</v>
      </c>
      <c r="E1049" s="7" t="str">
        <f>"吴崇涅"</f>
        <v>吴崇涅</v>
      </c>
      <c r="F1049" s="7" t="str">
        <f t="shared" si="241"/>
        <v>男</v>
      </c>
      <c r="G1049" s="7" t="s">
        <v>15</v>
      </c>
      <c r="H1049" s="8"/>
    </row>
    <row r="1050" ht="25" customHeight="1" spans="1:8">
      <c r="A1050" s="6">
        <v>1048</v>
      </c>
      <c r="B1050" s="7" t="str">
        <f t="shared" si="231"/>
        <v>103</v>
      </c>
      <c r="C1050" s="7" t="s">
        <v>663</v>
      </c>
      <c r="D1050" s="7" t="s">
        <v>664</v>
      </c>
      <c r="E1050" s="7" t="str">
        <f>"羊金丽"</f>
        <v>羊金丽</v>
      </c>
      <c r="F1050" s="7" t="str">
        <f t="shared" si="242"/>
        <v>女</v>
      </c>
      <c r="G1050" s="7" t="s">
        <v>979</v>
      </c>
      <c r="H1050" s="8"/>
    </row>
    <row r="1051" ht="25" customHeight="1" spans="1:8">
      <c r="A1051" s="6">
        <v>1049</v>
      </c>
      <c r="B1051" s="7" t="str">
        <f t="shared" si="231"/>
        <v>103</v>
      </c>
      <c r="C1051" s="7" t="s">
        <v>663</v>
      </c>
      <c r="D1051" s="7" t="s">
        <v>664</v>
      </c>
      <c r="E1051" s="7" t="str">
        <f>"吴玉"</f>
        <v>吴玉</v>
      </c>
      <c r="F1051" s="7" t="str">
        <f t="shared" si="242"/>
        <v>女</v>
      </c>
      <c r="G1051" s="7" t="s">
        <v>980</v>
      </c>
      <c r="H1051" s="8"/>
    </row>
    <row r="1052" ht="25" customHeight="1" spans="1:8">
      <c r="A1052" s="6">
        <v>1050</v>
      </c>
      <c r="B1052" s="7" t="str">
        <f t="shared" si="231"/>
        <v>103</v>
      </c>
      <c r="C1052" s="7" t="s">
        <v>663</v>
      </c>
      <c r="D1052" s="7" t="s">
        <v>664</v>
      </c>
      <c r="E1052" s="7" t="str">
        <f>"苏林媚"</f>
        <v>苏林媚</v>
      </c>
      <c r="F1052" s="7" t="str">
        <f t="shared" si="242"/>
        <v>女</v>
      </c>
      <c r="G1052" s="7" t="s">
        <v>981</v>
      </c>
      <c r="H1052" s="8"/>
    </row>
    <row r="1053" ht="25" customHeight="1" spans="1:8">
      <c r="A1053" s="6">
        <v>1051</v>
      </c>
      <c r="B1053" s="7" t="str">
        <f t="shared" si="231"/>
        <v>103</v>
      </c>
      <c r="C1053" s="7" t="s">
        <v>663</v>
      </c>
      <c r="D1053" s="7" t="s">
        <v>664</v>
      </c>
      <c r="E1053" s="7" t="str">
        <f>"陈少文"</f>
        <v>陈少文</v>
      </c>
      <c r="F1053" s="7" t="str">
        <f t="shared" ref="F1053:F1059" si="243">"男"</f>
        <v>男</v>
      </c>
      <c r="G1053" s="7" t="s">
        <v>741</v>
      </c>
      <c r="H1053" s="8"/>
    </row>
    <row r="1054" ht="25" customHeight="1" spans="1:8">
      <c r="A1054" s="6">
        <v>1052</v>
      </c>
      <c r="B1054" s="7" t="str">
        <f t="shared" si="231"/>
        <v>103</v>
      </c>
      <c r="C1054" s="7" t="s">
        <v>663</v>
      </c>
      <c r="D1054" s="7" t="s">
        <v>664</v>
      </c>
      <c r="E1054" s="7" t="str">
        <f>"符彬彬"</f>
        <v>符彬彬</v>
      </c>
      <c r="F1054" s="7" t="str">
        <f t="shared" ref="F1054:F1056" si="244">"女"</f>
        <v>女</v>
      </c>
      <c r="G1054" s="7" t="s">
        <v>982</v>
      </c>
      <c r="H1054" s="8"/>
    </row>
    <row r="1055" ht="25" customHeight="1" spans="1:8">
      <c r="A1055" s="6">
        <v>1053</v>
      </c>
      <c r="B1055" s="7" t="str">
        <f t="shared" si="231"/>
        <v>103</v>
      </c>
      <c r="C1055" s="7" t="s">
        <v>663</v>
      </c>
      <c r="D1055" s="7" t="s">
        <v>664</v>
      </c>
      <c r="E1055" s="7" t="str">
        <f>"董莹莹"</f>
        <v>董莹莹</v>
      </c>
      <c r="F1055" s="7" t="str">
        <f t="shared" si="244"/>
        <v>女</v>
      </c>
      <c r="G1055" s="7" t="s">
        <v>983</v>
      </c>
      <c r="H1055" s="8"/>
    </row>
    <row r="1056" ht="25" customHeight="1" spans="1:8">
      <c r="A1056" s="6">
        <v>1054</v>
      </c>
      <c r="B1056" s="7" t="str">
        <f t="shared" si="231"/>
        <v>103</v>
      </c>
      <c r="C1056" s="7" t="s">
        <v>663</v>
      </c>
      <c r="D1056" s="7" t="s">
        <v>664</v>
      </c>
      <c r="E1056" s="7" t="str">
        <f>"符海娇"</f>
        <v>符海娇</v>
      </c>
      <c r="F1056" s="7" t="str">
        <f t="shared" si="244"/>
        <v>女</v>
      </c>
      <c r="G1056" s="7" t="s">
        <v>984</v>
      </c>
      <c r="H1056" s="8"/>
    </row>
    <row r="1057" ht="25" customHeight="1" spans="1:8">
      <c r="A1057" s="6">
        <v>1055</v>
      </c>
      <c r="B1057" s="7" t="str">
        <f t="shared" si="231"/>
        <v>103</v>
      </c>
      <c r="C1057" s="7" t="s">
        <v>663</v>
      </c>
      <c r="D1057" s="7" t="s">
        <v>664</v>
      </c>
      <c r="E1057" s="7" t="str">
        <f>"刘瀚文"</f>
        <v>刘瀚文</v>
      </c>
      <c r="F1057" s="7" t="str">
        <f t="shared" si="243"/>
        <v>男</v>
      </c>
      <c r="G1057" s="7" t="s">
        <v>985</v>
      </c>
      <c r="H1057" s="8"/>
    </row>
    <row r="1058" ht="25" customHeight="1" spans="1:8">
      <c r="A1058" s="6">
        <v>1056</v>
      </c>
      <c r="B1058" s="7" t="str">
        <f t="shared" si="231"/>
        <v>103</v>
      </c>
      <c r="C1058" s="7" t="s">
        <v>663</v>
      </c>
      <c r="D1058" s="7" t="s">
        <v>664</v>
      </c>
      <c r="E1058" s="7" t="str">
        <f>"李道鑫"</f>
        <v>李道鑫</v>
      </c>
      <c r="F1058" s="7" t="str">
        <f t="shared" si="243"/>
        <v>男</v>
      </c>
      <c r="G1058" s="7" t="s">
        <v>986</v>
      </c>
      <c r="H1058" s="8"/>
    </row>
    <row r="1059" ht="25" customHeight="1" spans="1:8">
      <c r="A1059" s="6">
        <v>1057</v>
      </c>
      <c r="B1059" s="7" t="str">
        <f t="shared" si="231"/>
        <v>103</v>
      </c>
      <c r="C1059" s="7" t="s">
        <v>663</v>
      </c>
      <c r="D1059" s="7" t="s">
        <v>664</v>
      </c>
      <c r="E1059" s="7" t="str">
        <f>"符业创"</f>
        <v>符业创</v>
      </c>
      <c r="F1059" s="7" t="str">
        <f t="shared" si="243"/>
        <v>男</v>
      </c>
      <c r="G1059" s="7" t="s">
        <v>987</v>
      </c>
      <c r="H1059" s="8"/>
    </row>
    <row r="1060" ht="25" customHeight="1" spans="1:8">
      <c r="A1060" s="6">
        <v>1058</v>
      </c>
      <c r="B1060" s="7" t="str">
        <f t="shared" si="231"/>
        <v>103</v>
      </c>
      <c r="C1060" s="7" t="s">
        <v>663</v>
      </c>
      <c r="D1060" s="7" t="s">
        <v>664</v>
      </c>
      <c r="E1060" s="7" t="str">
        <f>"沈筱敏"</f>
        <v>沈筱敏</v>
      </c>
      <c r="F1060" s="7" t="str">
        <f t="shared" ref="F1060:F1064" si="245">"女"</f>
        <v>女</v>
      </c>
      <c r="G1060" s="7" t="s">
        <v>988</v>
      </c>
      <c r="H1060" s="8"/>
    </row>
    <row r="1061" ht="25" customHeight="1" spans="1:8">
      <c r="A1061" s="6">
        <v>1059</v>
      </c>
      <c r="B1061" s="7" t="str">
        <f t="shared" si="231"/>
        <v>103</v>
      </c>
      <c r="C1061" s="7" t="s">
        <v>663</v>
      </c>
      <c r="D1061" s="7" t="s">
        <v>664</v>
      </c>
      <c r="E1061" s="7" t="str">
        <f>"桂轩"</f>
        <v>桂轩</v>
      </c>
      <c r="F1061" s="7" t="str">
        <f t="shared" ref="F1061:F1068" si="246">"男"</f>
        <v>男</v>
      </c>
      <c r="G1061" s="7" t="s">
        <v>989</v>
      </c>
      <c r="H1061" s="8"/>
    </row>
    <row r="1062" ht="25" customHeight="1" spans="1:8">
      <c r="A1062" s="6">
        <v>1060</v>
      </c>
      <c r="B1062" s="7" t="str">
        <f t="shared" si="231"/>
        <v>103</v>
      </c>
      <c r="C1062" s="7" t="s">
        <v>663</v>
      </c>
      <c r="D1062" s="7" t="s">
        <v>664</v>
      </c>
      <c r="E1062" s="7" t="str">
        <f>"谢秀涓"</f>
        <v>谢秀涓</v>
      </c>
      <c r="F1062" s="7" t="str">
        <f t="shared" si="245"/>
        <v>女</v>
      </c>
      <c r="G1062" s="7" t="s">
        <v>990</v>
      </c>
      <c r="H1062" s="8"/>
    </row>
    <row r="1063" ht="25" customHeight="1" spans="1:8">
      <c r="A1063" s="6">
        <v>1061</v>
      </c>
      <c r="B1063" s="7" t="str">
        <f t="shared" si="231"/>
        <v>103</v>
      </c>
      <c r="C1063" s="7" t="s">
        <v>663</v>
      </c>
      <c r="D1063" s="7" t="s">
        <v>664</v>
      </c>
      <c r="E1063" s="7" t="str">
        <f>"李小祥"</f>
        <v>李小祥</v>
      </c>
      <c r="F1063" s="7" t="str">
        <f t="shared" si="246"/>
        <v>男</v>
      </c>
      <c r="G1063" s="7" t="s">
        <v>991</v>
      </c>
      <c r="H1063" s="8"/>
    </row>
    <row r="1064" ht="25" customHeight="1" spans="1:8">
      <c r="A1064" s="6">
        <v>1062</v>
      </c>
      <c r="B1064" s="7" t="str">
        <f t="shared" ref="B1064:B1127" si="247">"103"</f>
        <v>103</v>
      </c>
      <c r="C1064" s="7" t="s">
        <v>663</v>
      </c>
      <c r="D1064" s="7" t="s">
        <v>664</v>
      </c>
      <c r="E1064" s="7" t="str">
        <f>"陈善佳"</f>
        <v>陈善佳</v>
      </c>
      <c r="F1064" s="7" t="str">
        <f t="shared" si="245"/>
        <v>女</v>
      </c>
      <c r="G1064" s="7" t="s">
        <v>992</v>
      </c>
      <c r="H1064" s="8"/>
    </row>
    <row r="1065" ht="25" customHeight="1" spans="1:8">
      <c r="A1065" s="6">
        <v>1063</v>
      </c>
      <c r="B1065" s="7" t="str">
        <f t="shared" si="247"/>
        <v>103</v>
      </c>
      <c r="C1065" s="7" t="s">
        <v>663</v>
      </c>
      <c r="D1065" s="7" t="s">
        <v>664</v>
      </c>
      <c r="E1065" s="7" t="str">
        <f>"马征"</f>
        <v>马征</v>
      </c>
      <c r="F1065" s="7" t="str">
        <f t="shared" si="246"/>
        <v>男</v>
      </c>
      <c r="G1065" s="7" t="s">
        <v>993</v>
      </c>
      <c r="H1065" s="8"/>
    </row>
    <row r="1066" ht="25" customHeight="1" spans="1:8">
      <c r="A1066" s="6">
        <v>1064</v>
      </c>
      <c r="B1066" s="7" t="str">
        <f t="shared" si="247"/>
        <v>103</v>
      </c>
      <c r="C1066" s="7" t="s">
        <v>663</v>
      </c>
      <c r="D1066" s="7" t="s">
        <v>664</v>
      </c>
      <c r="E1066" s="7" t="str">
        <f>"黄运康"</f>
        <v>黄运康</v>
      </c>
      <c r="F1066" s="7" t="str">
        <f t="shared" si="246"/>
        <v>男</v>
      </c>
      <c r="G1066" s="7" t="s">
        <v>948</v>
      </c>
      <c r="H1066" s="8"/>
    </row>
    <row r="1067" ht="25" customHeight="1" spans="1:8">
      <c r="A1067" s="6">
        <v>1065</v>
      </c>
      <c r="B1067" s="7" t="str">
        <f t="shared" si="247"/>
        <v>103</v>
      </c>
      <c r="C1067" s="7" t="s">
        <v>663</v>
      </c>
      <c r="D1067" s="7" t="s">
        <v>664</v>
      </c>
      <c r="E1067" s="7" t="str">
        <f>"冯俊景"</f>
        <v>冯俊景</v>
      </c>
      <c r="F1067" s="7" t="str">
        <f t="shared" si="246"/>
        <v>男</v>
      </c>
      <c r="G1067" s="7" t="s">
        <v>994</v>
      </c>
      <c r="H1067" s="8"/>
    </row>
    <row r="1068" ht="25" customHeight="1" spans="1:8">
      <c r="A1068" s="6">
        <v>1066</v>
      </c>
      <c r="B1068" s="7" t="str">
        <f t="shared" si="247"/>
        <v>103</v>
      </c>
      <c r="C1068" s="7" t="s">
        <v>663</v>
      </c>
      <c r="D1068" s="7" t="s">
        <v>664</v>
      </c>
      <c r="E1068" s="7" t="str">
        <f>"彭业翔"</f>
        <v>彭业翔</v>
      </c>
      <c r="F1068" s="7" t="str">
        <f t="shared" si="246"/>
        <v>男</v>
      </c>
      <c r="G1068" s="7" t="s">
        <v>995</v>
      </c>
      <c r="H1068" s="8"/>
    </row>
    <row r="1069" ht="25" customHeight="1" spans="1:8">
      <c r="A1069" s="6">
        <v>1067</v>
      </c>
      <c r="B1069" s="7" t="str">
        <f t="shared" si="247"/>
        <v>103</v>
      </c>
      <c r="C1069" s="7" t="s">
        <v>663</v>
      </c>
      <c r="D1069" s="7" t="s">
        <v>664</v>
      </c>
      <c r="E1069" s="7" t="str">
        <f>"王文华"</f>
        <v>王文华</v>
      </c>
      <c r="F1069" s="7" t="str">
        <f t="shared" ref="F1069:F1076" si="248">"女"</f>
        <v>女</v>
      </c>
      <c r="G1069" s="7" t="s">
        <v>996</v>
      </c>
      <c r="H1069" s="8"/>
    </row>
    <row r="1070" ht="25" customHeight="1" spans="1:8">
      <c r="A1070" s="6">
        <v>1068</v>
      </c>
      <c r="B1070" s="7" t="str">
        <f t="shared" si="247"/>
        <v>103</v>
      </c>
      <c r="C1070" s="7" t="s">
        <v>663</v>
      </c>
      <c r="D1070" s="7" t="s">
        <v>664</v>
      </c>
      <c r="E1070" s="7" t="str">
        <f>"周克山"</f>
        <v>周克山</v>
      </c>
      <c r="F1070" s="7" t="str">
        <f t="shared" ref="F1070:F1073" si="249">"男"</f>
        <v>男</v>
      </c>
      <c r="G1070" s="7" t="s">
        <v>997</v>
      </c>
      <c r="H1070" s="8"/>
    </row>
    <row r="1071" ht="25" customHeight="1" spans="1:8">
      <c r="A1071" s="6">
        <v>1069</v>
      </c>
      <c r="B1071" s="7" t="str">
        <f t="shared" si="247"/>
        <v>103</v>
      </c>
      <c r="C1071" s="7" t="s">
        <v>663</v>
      </c>
      <c r="D1071" s="7" t="s">
        <v>664</v>
      </c>
      <c r="E1071" s="7" t="str">
        <f>"韦俊"</f>
        <v>韦俊</v>
      </c>
      <c r="F1071" s="7" t="str">
        <f t="shared" si="249"/>
        <v>男</v>
      </c>
      <c r="G1071" s="7" t="s">
        <v>998</v>
      </c>
      <c r="H1071" s="8"/>
    </row>
    <row r="1072" ht="25" customHeight="1" spans="1:8">
      <c r="A1072" s="6">
        <v>1070</v>
      </c>
      <c r="B1072" s="7" t="str">
        <f t="shared" si="247"/>
        <v>103</v>
      </c>
      <c r="C1072" s="7" t="s">
        <v>663</v>
      </c>
      <c r="D1072" s="7" t="s">
        <v>664</v>
      </c>
      <c r="E1072" s="7" t="str">
        <f>"郑佳琦"</f>
        <v>郑佳琦</v>
      </c>
      <c r="F1072" s="7" t="str">
        <f t="shared" si="248"/>
        <v>女</v>
      </c>
      <c r="G1072" s="7" t="s">
        <v>202</v>
      </c>
      <c r="H1072" s="8"/>
    </row>
    <row r="1073" ht="25" customHeight="1" spans="1:8">
      <c r="A1073" s="6">
        <v>1071</v>
      </c>
      <c r="B1073" s="7" t="str">
        <f t="shared" si="247"/>
        <v>103</v>
      </c>
      <c r="C1073" s="7" t="s">
        <v>663</v>
      </c>
      <c r="D1073" s="7" t="s">
        <v>664</v>
      </c>
      <c r="E1073" s="7" t="str">
        <f>"林录奋"</f>
        <v>林录奋</v>
      </c>
      <c r="F1073" s="7" t="str">
        <f t="shared" si="249"/>
        <v>男</v>
      </c>
      <c r="G1073" s="7" t="s">
        <v>999</v>
      </c>
      <c r="H1073" s="8"/>
    </row>
    <row r="1074" ht="25" customHeight="1" spans="1:8">
      <c r="A1074" s="6">
        <v>1072</v>
      </c>
      <c r="B1074" s="7" t="str">
        <f t="shared" si="247"/>
        <v>103</v>
      </c>
      <c r="C1074" s="7" t="s">
        <v>663</v>
      </c>
      <c r="D1074" s="7" t="s">
        <v>664</v>
      </c>
      <c r="E1074" s="7" t="str">
        <f>"黄智娴"</f>
        <v>黄智娴</v>
      </c>
      <c r="F1074" s="7" t="str">
        <f t="shared" si="248"/>
        <v>女</v>
      </c>
      <c r="G1074" s="7" t="s">
        <v>1000</v>
      </c>
      <c r="H1074" s="8"/>
    </row>
    <row r="1075" ht="25" customHeight="1" spans="1:8">
      <c r="A1075" s="6">
        <v>1073</v>
      </c>
      <c r="B1075" s="7" t="str">
        <f t="shared" si="247"/>
        <v>103</v>
      </c>
      <c r="C1075" s="7" t="s">
        <v>663</v>
      </c>
      <c r="D1075" s="7" t="s">
        <v>664</v>
      </c>
      <c r="E1075" s="7" t="str">
        <f>"刘玉华"</f>
        <v>刘玉华</v>
      </c>
      <c r="F1075" s="7" t="str">
        <f t="shared" si="248"/>
        <v>女</v>
      </c>
      <c r="G1075" s="7" t="s">
        <v>1001</v>
      </c>
      <c r="H1075" s="8"/>
    </row>
    <row r="1076" ht="25" customHeight="1" spans="1:8">
      <c r="A1076" s="6">
        <v>1074</v>
      </c>
      <c r="B1076" s="7" t="str">
        <f t="shared" si="247"/>
        <v>103</v>
      </c>
      <c r="C1076" s="7" t="s">
        <v>663</v>
      </c>
      <c r="D1076" s="7" t="s">
        <v>664</v>
      </c>
      <c r="E1076" s="7" t="str">
        <f>"王玲"</f>
        <v>王玲</v>
      </c>
      <c r="F1076" s="7" t="str">
        <f t="shared" si="248"/>
        <v>女</v>
      </c>
      <c r="G1076" s="7" t="s">
        <v>1002</v>
      </c>
      <c r="H1076" s="8"/>
    </row>
    <row r="1077" ht="25" customHeight="1" spans="1:8">
      <c r="A1077" s="6">
        <v>1075</v>
      </c>
      <c r="B1077" s="7" t="str">
        <f t="shared" si="247"/>
        <v>103</v>
      </c>
      <c r="C1077" s="7" t="s">
        <v>663</v>
      </c>
      <c r="D1077" s="7" t="s">
        <v>664</v>
      </c>
      <c r="E1077" s="7" t="str">
        <f>"丘剑锋"</f>
        <v>丘剑锋</v>
      </c>
      <c r="F1077" s="7" t="str">
        <f t="shared" ref="F1077:F1082" si="250">"男"</f>
        <v>男</v>
      </c>
      <c r="G1077" s="7" t="s">
        <v>1003</v>
      </c>
      <c r="H1077" s="8"/>
    </row>
    <row r="1078" ht="25" customHeight="1" spans="1:8">
      <c r="A1078" s="6">
        <v>1076</v>
      </c>
      <c r="B1078" s="7" t="str">
        <f t="shared" si="247"/>
        <v>103</v>
      </c>
      <c r="C1078" s="7" t="s">
        <v>663</v>
      </c>
      <c r="D1078" s="7" t="s">
        <v>664</v>
      </c>
      <c r="E1078" s="7" t="str">
        <f>"何婷"</f>
        <v>何婷</v>
      </c>
      <c r="F1078" s="7" t="str">
        <f t="shared" ref="F1078:F1084" si="251">"女"</f>
        <v>女</v>
      </c>
      <c r="G1078" s="7" t="s">
        <v>1004</v>
      </c>
      <c r="H1078" s="8"/>
    </row>
    <row r="1079" ht="25" customHeight="1" spans="1:8">
      <c r="A1079" s="6">
        <v>1077</v>
      </c>
      <c r="B1079" s="7" t="str">
        <f t="shared" si="247"/>
        <v>103</v>
      </c>
      <c r="C1079" s="7" t="s">
        <v>663</v>
      </c>
      <c r="D1079" s="7" t="s">
        <v>664</v>
      </c>
      <c r="E1079" s="7" t="str">
        <f>"洪悦"</f>
        <v>洪悦</v>
      </c>
      <c r="F1079" s="7" t="str">
        <f t="shared" si="251"/>
        <v>女</v>
      </c>
      <c r="G1079" s="7" t="s">
        <v>830</v>
      </c>
      <c r="H1079" s="8"/>
    </row>
    <row r="1080" ht="25" customHeight="1" spans="1:8">
      <c r="A1080" s="6">
        <v>1078</v>
      </c>
      <c r="B1080" s="7" t="str">
        <f t="shared" si="247"/>
        <v>103</v>
      </c>
      <c r="C1080" s="7" t="s">
        <v>663</v>
      </c>
      <c r="D1080" s="7" t="s">
        <v>664</v>
      </c>
      <c r="E1080" s="7" t="str">
        <f>"郑余权"</f>
        <v>郑余权</v>
      </c>
      <c r="F1080" s="7" t="str">
        <f t="shared" si="250"/>
        <v>男</v>
      </c>
      <c r="G1080" s="7" t="s">
        <v>193</v>
      </c>
      <c r="H1080" s="8"/>
    </row>
    <row r="1081" ht="25" customHeight="1" spans="1:8">
      <c r="A1081" s="6">
        <v>1079</v>
      </c>
      <c r="B1081" s="7" t="str">
        <f t="shared" si="247"/>
        <v>103</v>
      </c>
      <c r="C1081" s="7" t="s">
        <v>663</v>
      </c>
      <c r="D1081" s="7" t="s">
        <v>664</v>
      </c>
      <c r="E1081" s="7" t="str">
        <f>"张山师"</f>
        <v>张山师</v>
      </c>
      <c r="F1081" s="7" t="str">
        <f t="shared" si="250"/>
        <v>男</v>
      </c>
      <c r="G1081" s="7" t="s">
        <v>1005</v>
      </c>
      <c r="H1081" s="8"/>
    </row>
    <row r="1082" ht="25" customHeight="1" spans="1:8">
      <c r="A1082" s="6">
        <v>1080</v>
      </c>
      <c r="B1082" s="7" t="str">
        <f t="shared" si="247"/>
        <v>103</v>
      </c>
      <c r="C1082" s="7" t="s">
        <v>663</v>
      </c>
      <c r="D1082" s="7" t="s">
        <v>664</v>
      </c>
      <c r="E1082" s="7" t="str">
        <f>"陈飞龙"</f>
        <v>陈飞龙</v>
      </c>
      <c r="F1082" s="7" t="str">
        <f t="shared" si="250"/>
        <v>男</v>
      </c>
      <c r="G1082" s="7" t="s">
        <v>1006</v>
      </c>
      <c r="H1082" s="8"/>
    </row>
    <row r="1083" ht="25" customHeight="1" spans="1:8">
      <c r="A1083" s="6">
        <v>1081</v>
      </c>
      <c r="B1083" s="7" t="str">
        <f t="shared" si="247"/>
        <v>103</v>
      </c>
      <c r="C1083" s="7" t="s">
        <v>663</v>
      </c>
      <c r="D1083" s="7" t="s">
        <v>664</v>
      </c>
      <c r="E1083" s="7" t="str">
        <f>"刘淑英"</f>
        <v>刘淑英</v>
      </c>
      <c r="F1083" s="7" t="str">
        <f t="shared" si="251"/>
        <v>女</v>
      </c>
      <c r="G1083" s="7" t="s">
        <v>1007</v>
      </c>
      <c r="H1083" s="8"/>
    </row>
    <row r="1084" ht="25" customHeight="1" spans="1:8">
      <c r="A1084" s="6">
        <v>1082</v>
      </c>
      <c r="B1084" s="7" t="str">
        <f t="shared" si="247"/>
        <v>103</v>
      </c>
      <c r="C1084" s="7" t="s">
        <v>663</v>
      </c>
      <c r="D1084" s="7" t="s">
        <v>664</v>
      </c>
      <c r="E1084" s="7" t="str">
        <f>"许文斌"</f>
        <v>许文斌</v>
      </c>
      <c r="F1084" s="7" t="str">
        <f t="shared" si="251"/>
        <v>女</v>
      </c>
      <c r="G1084" s="7" t="s">
        <v>733</v>
      </c>
      <c r="H1084" s="8"/>
    </row>
    <row r="1085" ht="25" customHeight="1" spans="1:8">
      <c r="A1085" s="6">
        <v>1083</v>
      </c>
      <c r="B1085" s="7" t="str">
        <f t="shared" si="247"/>
        <v>103</v>
      </c>
      <c r="C1085" s="7" t="s">
        <v>663</v>
      </c>
      <c r="D1085" s="7" t="s">
        <v>664</v>
      </c>
      <c r="E1085" s="7" t="str">
        <f>"赵盛熙"</f>
        <v>赵盛熙</v>
      </c>
      <c r="F1085" s="7" t="str">
        <f t="shared" ref="F1085:F1088" si="252">"男"</f>
        <v>男</v>
      </c>
      <c r="G1085" s="7" t="s">
        <v>1008</v>
      </c>
      <c r="H1085" s="8"/>
    </row>
    <row r="1086" ht="25" customHeight="1" spans="1:8">
      <c r="A1086" s="6">
        <v>1084</v>
      </c>
      <c r="B1086" s="7" t="str">
        <f t="shared" si="247"/>
        <v>103</v>
      </c>
      <c r="C1086" s="7" t="s">
        <v>663</v>
      </c>
      <c r="D1086" s="7" t="s">
        <v>664</v>
      </c>
      <c r="E1086" s="7" t="str">
        <f>"林如金"</f>
        <v>林如金</v>
      </c>
      <c r="F1086" s="7" t="str">
        <f>"女"</f>
        <v>女</v>
      </c>
      <c r="G1086" s="7" t="s">
        <v>1009</v>
      </c>
      <c r="H1086" s="8"/>
    </row>
    <row r="1087" ht="25" customHeight="1" spans="1:8">
      <c r="A1087" s="6">
        <v>1085</v>
      </c>
      <c r="B1087" s="7" t="str">
        <f t="shared" si="247"/>
        <v>103</v>
      </c>
      <c r="C1087" s="7" t="s">
        <v>663</v>
      </c>
      <c r="D1087" s="7" t="s">
        <v>664</v>
      </c>
      <c r="E1087" s="7" t="str">
        <f>"卓齐伟"</f>
        <v>卓齐伟</v>
      </c>
      <c r="F1087" s="7" t="str">
        <f t="shared" si="252"/>
        <v>男</v>
      </c>
      <c r="G1087" s="7" t="s">
        <v>1010</v>
      </c>
      <c r="H1087" s="8"/>
    </row>
    <row r="1088" ht="25" customHeight="1" spans="1:8">
      <c r="A1088" s="6">
        <v>1086</v>
      </c>
      <c r="B1088" s="7" t="str">
        <f t="shared" si="247"/>
        <v>103</v>
      </c>
      <c r="C1088" s="7" t="s">
        <v>663</v>
      </c>
      <c r="D1088" s="7" t="s">
        <v>664</v>
      </c>
      <c r="E1088" s="7" t="str">
        <f>"马浩然"</f>
        <v>马浩然</v>
      </c>
      <c r="F1088" s="7" t="str">
        <f t="shared" si="252"/>
        <v>男</v>
      </c>
      <c r="G1088" s="7" t="s">
        <v>1011</v>
      </c>
      <c r="H1088" s="8"/>
    </row>
    <row r="1089" ht="25" customHeight="1" spans="1:8">
      <c r="A1089" s="6">
        <v>1087</v>
      </c>
      <c r="B1089" s="7" t="str">
        <f t="shared" si="247"/>
        <v>103</v>
      </c>
      <c r="C1089" s="7" t="s">
        <v>663</v>
      </c>
      <c r="D1089" s="7" t="s">
        <v>664</v>
      </c>
      <c r="E1089" s="7" t="str">
        <f>"邓欢欢"</f>
        <v>邓欢欢</v>
      </c>
      <c r="F1089" s="7" t="str">
        <f>"女"</f>
        <v>女</v>
      </c>
      <c r="G1089" s="7" t="s">
        <v>1012</v>
      </c>
      <c r="H1089" s="8"/>
    </row>
    <row r="1090" ht="25" customHeight="1" spans="1:8">
      <c r="A1090" s="6">
        <v>1088</v>
      </c>
      <c r="B1090" s="7" t="str">
        <f t="shared" si="247"/>
        <v>103</v>
      </c>
      <c r="C1090" s="7" t="s">
        <v>663</v>
      </c>
      <c r="D1090" s="7" t="s">
        <v>664</v>
      </c>
      <c r="E1090" s="7" t="str">
        <f>"黄进财"</f>
        <v>黄进财</v>
      </c>
      <c r="F1090" s="7" t="str">
        <f t="shared" ref="F1090:F1094" si="253">"男"</f>
        <v>男</v>
      </c>
      <c r="G1090" s="7" t="s">
        <v>1013</v>
      </c>
      <c r="H1090" s="8"/>
    </row>
    <row r="1091" ht="25" customHeight="1" spans="1:8">
      <c r="A1091" s="6">
        <v>1089</v>
      </c>
      <c r="B1091" s="7" t="str">
        <f t="shared" si="247"/>
        <v>103</v>
      </c>
      <c r="C1091" s="7" t="s">
        <v>663</v>
      </c>
      <c r="D1091" s="7" t="s">
        <v>664</v>
      </c>
      <c r="E1091" s="7" t="str">
        <f>"庄旭"</f>
        <v>庄旭</v>
      </c>
      <c r="F1091" s="7" t="str">
        <f t="shared" si="253"/>
        <v>男</v>
      </c>
      <c r="G1091" s="7" t="s">
        <v>1014</v>
      </c>
      <c r="H1091" s="8"/>
    </row>
    <row r="1092" ht="25" customHeight="1" spans="1:8">
      <c r="A1092" s="6">
        <v>1090</v>
      </c>
      <c r="B1092" s="7" t="str">
        <f t="shared" si="247"/>
        <v>103</v>
      </c>
      <c r="C1092" s="7" t="s">
        <v>663</v>
      </c>
      <c r="D1092" s="7" t="s">
        <v>664</v>
      </c>
      <c r="E1092" s="7" t="str">
        <f>"孙雯子"</f>
        <v>孙雯子</v>
      </c>
      <c r="F1092" s="7" t="str">
        <f t="shared" ref="F1092:F1102" si="254">"女"</f>
        <v>女</v>
      </c>
      <c r="G1092" s="7" t="s">
        <v>959</v>
      </c>
      <c r="H1092" s="8"/>
    </row>
    <row r="1093" ht="25" customHeight="1" spans="1:8">
      <c r="A1093" s="6">
        <v>1091</v>
      </c>
      <c r="B1093" s="7" t="str">
        <f t="shared" si="247"/>
        <v>103</v>
      </c>
      <c r="C1093" s="7" t="s">
        <v>663</v>
      </c>
      <c r="D1093" s="7" t="s">
        <v>664</v>
      </c>
      <c r="E1093" s="7" t="str">
        <f>"肖爱耿"</f>
        <v>肖爱耿</v>
      </c>
      <c r="F1093" s="7" t="str">
        <f t="shared" si="253"/>
        <v>男</v>
      </c>
      <c r="G1093" s="7" t="s">
        <v>1015</v>
      </c>
      <c r="H1093" s="8"/>
    </row>
    <row r="1094" ht="25" customHeight="1" spans="1:8">
      <c r="A1094" s="6">
        <v>1092</v>
      </c>
      <c r="B1094" s="7" t="str">
        <f t="shared" si="247"/>
        <v>103</v>
      </c>
      <c r="C1094" s="7" t="s">
        <v>663</v>
      </c>
      <c r="D1094" s="7" t="s">
        <v>664</v>
      </c>
      <c r="E1094" s="7" t="str">
        <f>"蔡传鹏"</f>
        <v>蔡传鹏</v>
      </c>
      <c r="F1094" s="7" t="str">
        <f t="shared" si="253"/>
        <v>男</v>
      </c>
      <c r="G1094" s="7" t="s">
        <v>1016</v>
      </c>
      <c r="H1094" s="8"/>
    </row>
    <row r="1095" ht="25" customHeight="1" spans="1:8">
      <c r="A1095" s="6">
        <v>1093</v>
      </c>
      <c r="B1095" s="7" t="str">
        <f t="shared" si="247"/>
        <v>103</v>
      </c>
      <c r="C1095" s="7" t="s">
        <v>663</v>
      </c>
      <c r="D1095" s="7" t="s">
        <v>664</v>
      </c>
      <c r="E1095" s="7" t="str">
        <f>"郭福霞"</f>
        <v>郭福霞</v>
      </c>
      <c r="F1095" s="7" t="str">
        <f t="shared" si="254"/>
        <v>女</v>
      </c>
      <c r="G1095" s="7" t="s">
        <v>1017</v>
      </c>
      <c r="H1095" s="8"/>
    </row>
    <row r="1096" ht="25" customHeight="1" spans="1:8">
      <c r="A1096" s="6">
        <v>1094</v>
      </c>
      <c r="B1096" s="7" t="str">
        <f t="shared" si="247"/>
        <v>103</v>
      </c>
      <c r="C1096" s="7" t="s">
        <v>663</v>
      </c>
      <c r="D1096" s="7" t="s">
        <v>664</v>
      </c>
      <c r="E1096" s="7" t="str">
        <f>"谭诗巧"</f>
        <v>谭诗巧</v>
      </c>
      <c r="F1096" s="7" t="str">
        <f t="shared" si="254"/>
        <v>女</v>
      </c>
      <c r="G1096" s="7" t="s">
        <v>1018</v>
      </c>
      <c r="H1096" s="8"/>
    </row>
    <row r="1097" ht="25" customHeight="1" spans="1:8">
      <c r="A1097" s="6">
        <v>1095</v>
      </c>
      <c r="B1097" s="7" t="str">
        <f t="shared" si="247"/>
        <v>103</v>
      </c>
      <c r="C1097" s="7" t="s">
        <v>663</v>
      </c>
      <c r="D1097" s="7" t="s">
        <v>664</v>
      </c>
      <c r="E1097" s="7" t="str">
        <f>"林泰柳"</f>
        <v>林泰柳</v>
      </c>
      <c r="F1097" s="7" t="str">
        <f t="shared" si="254"/>
        <v>女</v>
      </c>
      <c r="G1097" s="7" t="s">
        <v>1019</v>
      </c>
      <c r="H1097" s="8"/>
    </row>
    <row r="1098" ht="25" customHeight="1" spans="1:8">
      <c r="A1098" s="6">
        <v>1096</v>
      </c>
      <c r="B1098" s="7" t="str">
        <f t="shared" si="247"/>
        <v>103</v>
      </c>
      <c r="C1098" s="7" t="s">
        <v>663</v>
      </c>
      <c r="D1098" s="7" t="s">
        <v>664</v>
      </c>
      <c r="E1098" s="7" t="str">
        <f>"吴芬芳"</f>
        <v>吴芬芳</v>
      </c>
      <c r="F1098" s="7" t="str">
        <f t="shared" si="254"/>
        <v>女</v>
      </c>
      <c r="G1098" s="7" t="s">
        <v>1020</v>
      </c>
      <c r="H1098" s="8"/>
    </row>
    <row r="1099" ht="25" customHeight="1" spans="1:8">
      <c r="A1099" s="6">
        <v>1097</v>
      </c>
      <c r="B1099" s="7" t="str">
        <f t="shared" si="247"/>
        <v>103</v>
      </c>
      <c r="C1099" s="7" t="s">
        <v>663</v>
      </c>
      <c r="D1099" s="7" t="s">
        <v>664</v>
      </c>
      <c r="E1099" s="7" t="str">
        <f>"陈焕丽"</f>
        <v>陈焕丽</v>
      </c>
      <c r="F1099" s="7" t="str">
        <f t="shared" si="254"/>
        <v>女</v>
      </c>
      <c r="G1099" s="7" t="s">
        <v>833</v>
      </c>
      <c r="H1099" s="8"/>
    </row>
    <row r="1100" ht="25" customHeight="1" spans="1:8">
      <c r="A1100" s="6">
        <v>1098</v>
      </c>
      <c r="B1100" s="7" t="str">
        <f t="shared" si="247"/>
        <v>103</v>
      </c>
      <c r="C1100" s="7" t="s">
        <v>663</v>
      </c>
      <c r="D1100" s="7" t="s">
        <v>664</v>
      </c>
      <c r="E1100" s="7" t="str">
        <f>"田宏燕"</f>
        <v>田宏燕</v>
      </c>
      <c r="F1100" s="7" t="str">
        <f t="shared" si="254"/>
        <v>女</v>
      </c>
      <c r="G1100" s="7" t="s">
        <v>1021</v>
      </c>
      <c r="H1100" s="8"/>
    </row>
    <row r="1101" ht="25" customHeight="1" spans="1:8">
      <c r="A1101" s="6">
        <v>1099</v>
      </c>
      <c r="B1101" s="7" t="str">
        <f t="shared" si="247"/>
        <v>103</v>
      </c>
      <c r="C1101" s="7" t="s">
        <v>663</v>
      </c>
      <c r="D1101" s="7" t="s">
        <v>664</v>
      </c>
      <c r="E1101" s="7" t="str">
        <f>"周旦姿"</f>
        <v>周旦姿</v>
      </c>
      <c r="F1101" s="7" t="str">
        <f t="shared" si="254"/>
        <v>女</v>
      </c>
      <c r="G1101" s="7" t="s">
        <v>1022</v>
      </c>
      <c r="H1101" s="8"/>
    </row>
    <row r="1102" ht="25" customHeight="1" spans="1:8">
      <c r="A1102" s="6">
        <v>1100</v>
      </c>
      <c r="B1102" s="7" t="str">
        <f t="shared" si="247"/>
        <v>103</v>
      </c>
      <c r="C1102" s="7" t="s">
        <v>663</v>
      </c>
      <c r="D1102" s="7" t="s">
        <v>664</v>
      </c>
      <c r="E1102" s="7" t="str">
        <f>"陈丽宇"</f>
        <v>陈丽宇</v>
      </c>
      <c r="F1102" s="7" t="str">
        <f t="shared" si="254"/>
        <v>女</v>
      </c>
      <c r="G1102" s="7" t="s">
        <v>1023</v>
      </c>
      <c r="H1102" s="8"/>
    </row>
    <row r="1103" ht="25" customHeight="1" spans="1:8">
      <c r="A1103" s="6">
        <v>1101</v>
      </c>
      <c r="B1103" s="7" t="str">
        <f t="shared" si="247"/>
        <v>103</v>
      </c>
      <c r="C1103" s="7" t="s">
        <v>663</v>
      </c>
      <c r="D1103" s="7" t="s">
        <v>664</v>
      </c>
      <c r="E1103" s="7" t="str">
        <f>"汪祥烽"</f>
        <v>汪祥烽</v>
      </c>
      <c r="F1103" s="7" t="str">
        <f t="shared" ref="F1103:F1109" si="255">"男"</f>
        <v>男</v>
      </c>
      <c r="G1103" s="7" t="s">
        <v>1024</v>
      </c>
      <c r="H1103" s="8"/>
    </row>
    <row r="1104" ht="25" customHeight="1" spans="1:8">
      <c r="A1104" s="6">
        <v>1102</v>
      </c>
      <c r="B1104" s="7" t="str">
        <f t="shared" si="247"/>
        <v>103</v>
      </c>
      <c r="C1104" s="7" t="s">
        <v>663</v>
      </c>
      <c r="D1104" s="7" t="s">
        <v>664</v>
      </c>
      <c r="E1104" s="7" t="str">
        <f>"胡芬芬"</f>
        <v>胡芬芬</v>
      </c>
      <c r="F1104" s="7" t="str">
        <f t="shared" ref="F1104:F1107" si="256">"女"</f>
        <v>女</v>
      </c>
      <c r="G1104" s="7" t="s">
        <v>1025</v>
      </c>
      <c r="H1104" s="8"/>
    </row>
    <row r="1105" ht="25" customHeight="1" spans="1:8">
      <c r="A1105" s="6">
        <v>1103</v>
      </c>
      <c r="B1105" s="7" t="str">
        <f t="shared" si="247"/>
        <v>103</v>
      </c>
      <c r="C1105" s="7" t="s">
        <v>663</v>
      </c>
      <c r="D1105" s="7" t="s">
        <v>664</v>
      </c>
      <c r="E1105" s="7" t="str">
        <f>"甄汉爱"</f>
        <v>甄汉爱</v>
      </c>
      <c r="F1105" s="7" t="str">
        <f t="shared" si="256"/>
        <v>女</v>
      </c>
      <c r="G1105" s="7" t="s">
        <v>1026</v>
      </c>
      <c r="H1105" s="8"/>
    </row>
    <row r="1106" ht="25" customHeight="1" spans="1:8">
      <c r="A1106" s="6">
        <v>1104</v>
      </c>
      <c r="B1106" s="7" t="str">
        <f t="shared" si="247"/>
        <v>103</v>
      </c>
      <c r="C1106" s="7" t="s">
        <v>663</v>
      </c>
      <c r="D1106" s="7" t="s">
        <v>664</v>
      </c>
      <c r="E1106" s="7" t="str">
        <f>"文祠光"</f>
        <v>文祠光</v>
      </c>
      <c r="F1106" s="7" t="str">
        <f t="shared" si="255"/>
        <v>男</v>
      </c>
      <c r="G1106" s="7" t="s">
        <v>1027</v>
      </c>
      <c r="H1106" s="8"/>
    </row>
    <row r="1107" ht="25" customHeight="1" spans="1:8">
      <c r="A1107" s="6">
        <v>1105</v>
      </c>
      <c r="B1107" s="7" t="str">
        <f t="shared" si="247"/>
        <v>103</v>
      </c>
      <c r="C1107" s="7" t="s">
        <v>663</v>
      </c>
      <c r="D1107" s="7" t="s">
        <v>664</v>
      </c>
      <c r="E1107" s="7" t="str">
        <f>"林欢"</f>
        <v>林欢</v>
      </c>
      <c r="F1107" s="7" t="str">
        <f t="shared" si="256"/>
        <v>女</v>
      </c>
      <c r="G1107" s="7" t="s">
        <v>830</v>
      </c>
      <c r="H1107" s="8"/>
    </row>
    <row r="1108" ht="25" customHeight="1" spans="1:8">
      <c r="A1108" s="6">
        <v>1106</v>
      </c>
      <c r="B1108" s="7" t="str">
        <f t="shared" si="247"/>
        <v>103</v>
      </c>
      <c r="C1108" s="7" t="s">
        <v>663</v>
      </c>
      <c r="D1108" s="7" t="s">
        <v>664</v>
      </c>
      <c r="E1108" s="7" t="str">
        <f>"李权"</f>
        <v>李权</v>
      </c>
      <c r="F1108" s="7" t="str">
        <f t="shared" si="255"/>
        <v>男</v>
      </c>
      <c r="G1108" s="7" t="s">
        <v>1006</v>
      </c>
      <c r="H1108" s="8"/>
    </row>
    <row r="1109" ht="25" customHeight="1" spans="1:8">
      <c r="A1109" s="6">
        <v>1107</v>
      </c>
      <c r="B1109" s="7" t="str">
        <f t="shared" si="247"/>
        <v>103</v>
      </c>
      <c r="C1109" s="7" t="s">
        <v>663</v>
      </c>
      <c r="D1109" s="7" t="s">
        <v>664</v>
      </c>
      <c r="E1109" s="7" t="str">
        <f>"陈儒俊"</f>
        <v>陈儒俊</v>
      </c>
      <c r="F1109" s="7" t="str">
        <f t="shared" si="255"/>
        <v>男</v>
      </c>
      <c r="G1109" s="7" t="s">
        <v>1028</v>
      </c>
      <c r="H1109" s="8"/>
    </row>
    <row r="1110" ht="25" customHeight="1" spans="1:8">
      <c r="A1110" s="6">
        <v>1108</v>
      </c>
      <c r="B1110" s="7" t="str">
        <f t="shared" si="247"/>
        <v>103</v>
      </c>
      <c r="C1110" s="7" t="s">
        <v>663</v>
      </c>
      <c r="D1110" s="7" t="s">
        <v>664</v>
      </c>
      <c r="E1110" s="7" t="str">
        <f>"王诗惠"</f>
        <v>王诗惠</v>
      </c>
      <c r="F1110" s="7" t="str">
        <f>"女"</f>
        <v>女</v>
      </c>
      <c r="G1110" s="7" t="s">
        <v>1029</v>
      </c>
      <c r="H1110" s="8"/>
    </row>
    <row r="1111" ht="25" customHeight="1" spans="1:8">
      <c r="A1111" s="6">
        <v>1109</v>
      </c>
      <c r="B1111" s="7" t="str">
        <f t="shared" si="247"/>
        <v>103</v>
      </c>
      <c r="C1111" s="7" t="s">
        <v>663</v>
      </c>
      <c r="D1111" s="7" t="s">
        <v>664</v>
      </c>
      <c r="E1111" s="7" t="str">
        <f>"童卡"</f>
        <v>童卡</v>
      </c>
      <c r="F1111" s="7" t="str">
        <f t="shared" ref="F1111:F1113" si="257">"男"</f>
        <v>男</v>
      </c>
      <c r="G1111" s="7" t="s">
        <v>1030</v>
      </c>
      <c r="H1111" s="8"/>
    </row>
    <row r="1112" ht="25" customHeight="1" spans="1:8">
      <c r="A1112" s="6">
        <v>1110</v>
      </c>
      <c r="B1112" s="7" t="str">
        <f t="shared" si="247"/>
        <v>103</v>
      </c>
      <c r="C1112" s="7" t="s">
        <v>663</v>
      </c>
      <c r="D1112" s="7" t="s">
        <v>664</v>
      </c>
      <c r="E1112" s="7" t="str">
        <f>"李书钻"</f>
        <v>李书钻</v>
      </c>
      <c r="F1112" s="7" t="str">
        <f t="shared" si="257"/>
        <v>男</v>
      </c>
      <c r="G1112" s="7" t="s">
        <v>1031</v>
      </c>
      <c r="H1112" s="8"/>
    </row>
    <row r="1113" ht="25" customHeight="1" spans="1:8">
      <c r="A1113" s="6">
        <v>1111</v>
      </c>
      <c r="B1113" s="7" t="str">
        <f t="shared" si="247"/>
        <v>103</v>
      </c>
      <c r="C1113" s="7" t="s">
        <v>663</v>
      </c>
      <c r="D1113" s="7" t="s">
        <v>664</v>
      </c>
      <c r="E1113" s="7" t="str">
        <f>"黎展翔"</f>
        <v>黎展翔</v>
      </c>
      <c r="F1113" s="7" t="str">
        <f t="shared" si="257"/>
        <v>男</v>
      </c>
      <c r="G1113" s="7" t="s">
        <v>1032</v>
      </c>
      <c r="H1113" s="8"/>
    </row>
    <row r="1114" ht="25" customHeight="1" spans="1:8">
      <c r="A1114" s="6">
        <v>1112</v>
      </c>
      <c r="B1114" s="7" t="str">
        <f t="shared" si="247"/>
        <v>103</v>
      </c>
      <c r="C1114" s="7" t="s">
        <v>663</v>
      </c>
      <c r="D1114" s="7" t="s">
        <v>664</v>
      </c>
      <c r="E1114" s="7" t="str">
        <f>"冼丽文"</f>
        <v>冼丽文</v>
      </c>
      <c r="F1114" s="7" t="str">
        <f t="shared" ref="F1114:F1119" si="258">"女"</f>
        <v>女</v>
      </c>
      <c r="G1114" s="7" t="s">
        <v>1033</v>
      </c>
      <c r="H1114" s="8"/>
    </row>
    <row r="1115" ht="25" customHeight="1" spans="1:8">
      <c r="A1115" s="6">
        <v>1113</v>
      </c>
      <c r="B1115" s="7" t="str">
        <f t="shared" si="247"/>
        <v>103</v>
      </c>
      <c r="C1115" s="7" t="s">
        <v>663</v>
      </c>
      <c r="D1115" s="7" t="s">
        <v>664</v>
      </c>
      <c r="E1115" s="7" t="str">
        <f>"王培三"</f>
        <v>王培三</v>
      </c>
      <c r="F1115" s="7" t="str">
        <f t="shared" ref="F1115:F1121" si="259">"男"</f>
        <v>男</v>
      </c>
      <c r="G1115" s="7" t="s">
        <v>1034</v>
      </c>
      <c r="H1115" s="8"/>
    </row>
    <row r="1116" ht="25" customHeight="1" spans="1:8">
      <c r="A1116" s="6">
        <v>1114</v>
      </c>
      <c r="B1116" s="7" t="str">
        <f t="shared" si="247"/>
        <v>103</v>
      </c>
      <c r="C1116" s="7" t="s">
        <v>663</v>
      </c>
      <c r="D1116" s="7" t="s">
        <v>664</v>
      </c>
      <c r="E1116" s="7" t="str">
        <f>"黄在彬"</f>
        <v>黄在彬</v>
      </c>
      <c r="F1116" s="7" t="str">
        <f t="shared" si="259"/>
        <v>男</v>
      </c>
      <c r="G1116" s="7" t="s">
        <v>1035</v>
      </c>
      <c r="H1116" s="8"/>
    </row>
    <row r="1117" ht="25" customHeight="1" spans="1:8">
      <c r="A1117" s="6">
        <v>1115</v>
      </c>
      <c r="B1117" s="7" t="str">
        <f t="shared" si="247"/>
        <v>103</v>
      </c>
      <c r="C1117" s="7" t="s">
        <v>663</v>
      </c>
      <c r="D1117" s="7" t="s">
        <v>664</v>
      </c>
      <c r="E1117" s="7" t="str">
        <f>"郑妍"</f>
        <v>郑妍</v>
      </c>
      <c r="F1117" s="7" t="str">
        <f t="shared" si="258"/>
        <v>女</v>
      </c>
      <c r="G1117" s="7" t="s">
        <v>1036</v>
      </c>
      <c r="H1117" s="8"/>
    </row>
    <row r="1118" ht="25" customHeight="1" spans="1:8">
      <c r="A1118" s="6">
        <v>1116</v>
      </c>
      <c r="B1118" s="7" t="str">
        <f t="shared" si="247"/>
        <v>103</v>
      </c>
      <c r="C1118" s="7" t="s">
        <v>663</v>
      </c>
      <c r="D1118" s="7" t="s">
        <v>664</v>
      </c>
      <c r="E1118" s="7" t="str">
        <f>"赵壮青"</f>
        <v>赵壮青</v>
      </c>
      <c r="F1118" s="7" t="str">
        <f t="shared" si="258"/>
        <v>女</v>
      </c>
      <c r="G1118" s="7" t="s">
        <v>1037</v>
      </c>
      <c r="H1118" s="8"/>
    </row>
    <row r="1119" ht="25" customHeight="1" spans="1:8">
      <c r="A1119" s="6">
        <v>1117</v>
      </c>
      <c r="B1119" s="7" t="str">
        <f t="shared" si="247"/>
        <v>103</v>
      </c>
      <c r="C1119" s="7" t="s">
        <v>663</v>
      </c>
      <c r="D1119" s="7" t="s">
        <v>664</v>
      </c>
      <c r="E1119" s="7" t="str">
        <f>"唐晓露"</f>
        <v>唐晓露</v>
      </c>
      <c r="F1119" s="7" t="str">
        <f t="shared" si="258"/>
        <v>女</v>
      </c>
      <c r="G1119" s="7" t="s">
        <v>1038</v>
      </c>
      <c r="H1119" s="8"/>
    </row>
    <row r="1120" ht="25" customHeight="1" spans="1:8">
      <c r="A1120" s="6">
        <v>1118</v>
      </c>
      <c r="B1120" s="7" t="str">
        <f t="shared" si="247"/>
        <v>103</v>
      </c>
      <c r="C1120" s="7" t="s">
        <v>663</v>
      </c>
      <c r="D1120" s="7" t="s">
        <v>664</v>
      </c>
      <c r="E1120" s="7" t="str">
        <f>"罗杰"</f>
        <v>罗杰</v>
      </c>
      <c r="F1120" s="7" t="str">
        <f t="shared" si="259"/>
        <v>男</v>
      </c>
      <c r="G1120" s="7" t="s">
        <v>1039</v>
      </c>
      <c r="H1120" s="8"/>
    </row>
    <row r="1121" ht="25" customHeight="1" spans="1:8">
      <c r="A1121" s="6">
        <v>1119</v>
      </c>
      <c r="B1121" s="7" t="str">
        <f t="shared" si="247"/>
        <v>103</v>
      </c>
      <c r="C1121" s="7" t="s">
        <v>663</v>
      </c>
      <c r="D1121" s="7" t="s">
        <v>664</v>
      </c>
      <c r="E1121" s="7" t="str">
        <f>"罗圣山"</f>
        <v>罗圣山</v>
      </c>
      <c r="F1121" s="7" t="str">
        <f t="shared" si="259"/>
        <v>男</v>
      </c>
      <c r="G1121" s="7" t="s">
        <v>1040</v>
      </c>
      <c r="H1121" s="8"/>
    </row>
    <row r="1122" ht="25" customHeight="1" spans="1:8">
      <c r="A1122" s="6">
        <v>1120</v>
      </c>
      <c r="B1122" s="7" t="str">
        <f t="shared" si="247"/>
        <v>103</v>
      </c>
      <c r="C1122" s="7" t="s">
        <v>663</v>
      </c>
      <c r="D1122" s="7" t="s">
        <v>664</v>
      </c>
      <c r="E1122" s="7" t="str">
        <f>"符菲"</f>
        <v>符菲</v>
      </c>
      <c r="F1122" s="7" t="str">
        <f t="shared" ref="F1122:F1125" si="260">"女"</f>
        <v>女</v>
      </c>
      <c r="G1122" s="7" t="s">
        <v>1041</v>
      </c>
      <c r="H1122" s="8"/>
    </row>
    <row r="1123" ht="25" customHeight="1" spans="1:8">
      <c r="A1123" s="6">
        <v>1121</v>
      </c>
      <c r="B1123" s="7" t="str">
        <f t="shared" si="247"/>
        <v>103</v>
      </c>
      <c r="C1123" s="7" t="s">
        <v>663</v>
      </c>
      <c r="D1123" s="7" t="s">
        <v>664</v>
      </c>
      <c r="E1123" s="7" t="str">
        <f>"张力元"</f>
        <v>张力元</v>
      </c>
      <c r="F1123" s="7" t="str">
        <f t="shared" si="260"/>
        <v>女</v>
      </c>
      <c r="G1123" s="7" t="s">
        <v>1042</v>
      </c>
      <c r="H1123" s="8"/>
    </row>
    <row r="1124" ht="25" customHeight="1" spans="1:8">
      <c r="A1124" s="6">
        <v>1122</v>
      </c>
      <c r="B1124" s="7" t="str">
        <f t="shared" si="247"/>
        <v>103</v>
      </c>
      <c r="C1124" s="7" t="s">
        <v>663</v>
      </c>
      <c r="D1124" s="7" t="s">
        <v>664</v>
      </c>
      <c r="E1124" s="7" t="str">
        <f>"庞乔军"</f>
        <v>庞乔军</v>
      </c>
      <c r="F1124" s="7" t="str">
        <f t="shared" ref="F1124:F1129" si="261">"男"</f>
        <v>男</v>
      </c>
      <c r="G1124" s="7" t="s">
        <v>1043</v>
      </c>
      <c r="H1124" s="8"/>
    </row>
    <row r="1125" ht="25" customHeight="1" spans="1:8">
      <c r="A1125" s="6">
        <v>1123</v>
      </c>
      <c r="B1125" s="7" t="str">
        <f t="shared" si="247"/>
        <v>103</v>
      </c>
      <c r="C1125" s="7" t="s">
        <v>663</v>
      </c>
      <c r="D1125" s="7" t="s">
        <v>664</v>
      </c>
      <c r="E1125" s="7" t="str">
        <f>"庞曼舒"</f>
        <v>庞曼舒</v>
      </c>
      <c r="F1125" s="7" t="str">
        <f t="shared" si="260"/>
        <v>女</v>
      </c>
      <c r="G1125" s="7" t="s">
        <v>1044</v>
      </c>
      <c r="H1125" s="8"/>
    </row>
    <row r="1126" ht="25" customHeight="1" spans="1:8">
      <c r="A1126" s="6">
        <v>1124</v>
      </c>
      <c r="B1126" s="7" t="str">
        <f t="shared" si="247"/>
        <v>103</v>
      </c>
      <c r="C1126" s="7" t="s">
        <v>663</v>
      </c>
      <c r="D1126" s="7" t="s">
        <v>664</v>
      </c>
      <c r="E1126" s="7" t="str">
        <f>"王志豪"</f>
        <v>王志豪</v>
      </c>
      <c r="F1126" s="7" t="str">
        <f t="shared" si="261"/>
        <v>男</v>
      </c>
      <c r="G1126" s="7" t="s">
        <v>1045</v>
      </c>
      <c r="H1126" s="8"/>
    </row>
    <row r="1127" ht="25" customHeight="1" spans="1:8">
      <c r="A1127" s="6">
        <v>1125</v>
      </c>
      <c r="B1127" s="7" t="str">
        <f t="shared" si="247"/>
        <v>103</v>
      </c>
      <c r="C1127" s="7" t="s">
        <v>663</v>
      </c>
      <c r="D1127" s="7" t="s">
        <v>664</v>
      </c>
      <c r="E1127" s="7" t="str">
        <f>"邓珠"</f>
        <v>邓珠</v>
      </c>
      <c r="F1127" s="7" t="str">
        <f t="shared" ref="F1127:F1134" si="262">"女"</f>
        <v>女</v>
      </c>
      <c r="G1127" s="7" t="s">
        <v>1046</v>
      </c>
      <c r="H1127" s="8"/>
    </row>
    <row r="1128" ht="25" customHeight="1" spans="1:8">
      <c r="A1128" s="6">
        <v>1126</v>
      </c>
      <c r="B1128" s="7" t="str">
        <f t="shared" ref="B1128:B1191" si="263">"103"</f>
        <v>103</v>
      </c>
      <c r="C1128" s="7" t="s">
        <v>663</v>
      </c>
      <c r="D1128" s="7" t="s">
        <v>664</v>
      </c>
      <c r="E1128" s="7" t="str">
        <f>"陈淑妃"</f>
        <v>陈淑妃</v>
      </c>
      <c r="F1128" s="7" t="str">
        <f t="shared" si="262"/>
        <v>女</v>
      </c>
      <c r="G1128" s="7" t="s">
        <v>1047</v>
      </c>
      <c r="H1128" s="8"/>
    </row>
    <row r="1129" ht="25" customHeight="1" spans="1:8">
      <c r="A1129" s="6">
        <v>1127</v>
      </c>
      <c r="B1129" s="7" t="str">
        <f t="shared" si="263"/>
        <v>103</v>
      </c>
      <c r="C1129" s="7" t="s">
        <v>663</v>
      </c>
      <c r="D1129" s="7" t="s">
        <v>664</v>
      </c>
      <c r="E1129" s="7" t="str">
        <f>"吴笃学"</f>
        <v>吴笃学</v>
      </c>
      <c r="F1129" s="7" t="str">
        <f t="shared" si="261"/>
        <v>男</v>
      </c>
      <c r="G1129" s="7" t="s">
        <v>1048</v>
      </c>
      <c r="H1129" s="8"/>
    </row>
    <row r="1130" ht="25" customHeight="1" spans="1:8">
      <c r="A1130" s="6">
        <v>1128</v>
      </c>
      <c r="B1130" s="7" t="str">
        <f t="shared" si="263"/>
        <v>103</v>
      </c>
      <c r="C1130" s="7" t="s">
        <v>663</v>
      </c>
      <c r="D1130" s="7" t="s">
        <v>664</v>
      </c>
      <c r="E1130" s="7" t="str">
        <f>"田莹"</f>
        <v>田莹</v>
      </c>
      <c r="F1130" s="7" t="str">
        <f t="shared" si="262"/>
        <v>女</v>
      </c>
      <c r="G1130" s="7" t="s">
        <v>1049</v>
      </c>
      <c r="H1130" s="8"/>
    </row>
    <row r="1131" ht="25" customHeight="1" spans="1:8">
      <c r="A1131" s="6">
        <v>1129</v>
      </c>
      <c r="B1131" s="7" t="str">
        <f t="shared" si="263"/>
        <v>103</v>
      </c>
      <c r="C1131" s="7" t="s">
        <v>663</v>
      </c>
      <c r="D1131" s="7" t="s">
        <v>664</v>
      </c>
      <c r="E1131" s="7" t="str">
        <f>"孙巧灵"</f>
        <v>孙巧灵</v>
      </c>
      <c r="F1131" s="7" t="str">
        <f t="shared" si="262"/>
        <v>女</v>
      </c>
      <c r="G1131" s="7" t="s">
        <v>343</v>
      </c>
      <c r="H1131" s="8"/>
    </row>
    <row r="1132" ht="25" customHeight="1" spans="1:8">
      <c r="A1132" s="6">
        <v>1130</v>
      </c>
      <c r="B1132" s="7" t="str">
        <f t="shared" si="263"/>
        <v>103</v>
      </c>
      <c r="C1132" s="7" t="s">
        <v>663</v>
      </c>
      <c r="D1132" s="7" t="s">
        <v>664</v>
      </c>
      <c r="E1132" s="7" t="str">
        <f>"张靖璐"</f>
        <v>张靖璐</v>
      </c>
      <c r="F1132" s="7" t="str">
        <f t="shared" si="262"/>
        <v>女</v>
      </c>
      <c r="G1132" s="7" t="s">
        <v>1050</v>
      </c>
      <c r="H1132" s="8"/>
    </row>
    <row r="1133" ht="25" customHeight="1" spans="1:8">
      <c r="A1133" s="6">
        <v>1131</v>
      </c>
      <c r="B1133" s="7" t="str">
        <f t="shared" si="263"/>
        <v>103</v>
      </c>
      <c r="C1133" s="7" t="s">
        <v>663</v>
      </c>
      <c r="D1133" s="7" t="s">
        <v>664</v>
      </c>
      <c r="E1133" s="7" t="str">
        <f>"邢意吉"</f>
        <v>邢意吉</v>
      </c>
      <c r="F1133" s="7" t="str">
        <f t="shared" si="262"/>
        <v>女</v>
      </c>
      <c r="G1133" s="7" t="s">
        <v>1051</v>
      </c>
      <c r="H1133" s="8"/>
    </row>
    <row r="1134" ht="25" customHeight="1" spans="1:8">
      <c r="A1134" s="6">
        <v>1132</v>
      </c>
      <c r="B1134" s="7" t="str">
        <f t="shared" si="263"/>
        <v>103</v>
      </c>
      <c r="C1134" s="7" t="s">
        <v>663</v>
      </c>
      <c r="D1134" s="7" t="s">
        <v>664</v>
      </c>
      <c r="E1134" s="7" t="str">
        <f>"孙乐儿"</f>
        <v>孙乐儿</v>
      </c>
      <c r="F1134" s="7" t="str">
        <f t="shared" si="262"/>
        <v>女</v>
      </c>
      <c r="G1134" s="7" t="s">
        <v>1052</v>
      </c>
      <c r="H1134" s="8"/>
    </row>
    <row r="1135" ht="25" customHeight="1" spans="1:8">
      <c r="A1135" s="6">
        <v>1133</v>
      </c>
      <c r="B1135" s="7" t="str">
        <f t="shared" si="263"/>
        <v>103</v>
      </c>
      <c r="C1135" s="7" t="s">
        <v>663</v>
      </c>
      <c r="D1135" s="7" t="s">
        <v>664</v>
      </c>
      <c r="E1135" s="7" t="str">
        <f>"王军"</f>
        <v>王军</v>
      </c>
      <c r="F1135" s="7" t="str">
        <f t="shared" ref="F1135:F1138" si="264">"男"</f>
        <v>男</v>
      </c>
      <c r="G1135" s="7" t="s">
        <v>1053</v>
      </c>
      <c r="H1135" s="8"/>
    </row>
    <row r="1136" ht="25" customHeight="1" spans="1:8">
      <c r="A1136" s="6">
        <v>1134</v>
      </c>
      <c r="B1136" s="7" t="str">
        <f t="shared" si="263"/>
        <v>103</v>
      </c>
      <c r="C1136" s="7" t="s">
        <v>663</v>
      </c>
      <c r="D1136" s="7" t="s">
        <v>664</v>
      </c>
      <c r="E1136" s="7" t="str">
        <f>"文云铎"</f>
        <v>文云铎</v>
      </c>
      <c r="F1136" s="7" t="str">
        <f t="shared" si="264"/>
        <v>男</v>
      </c>
      <c r="G1136" s="7" t="s">
        <v>1054</v>
      </c>
      <c r="H1136" s="8"/>
    </row>
    <row r="1137" ht="25" customHeight="1" spans="1:8">
      <c r="A1137" s="6">
        <v>1135</v>
      </c>
      <c r="B1137" s="7" t="str">
        <f t="shared" si="263"/>
        <v>103</v>
      </c>
      <c r="C1137" s="7" t="s">
        <v>663</v>
      </c>
      <c r="D1137" s="7" t="s">
        <v>664</v>
      </c>
      <c r="E1137" s="7" t="str">
        <f>"林师豪"</f>
        <v>林师豪</v>
      </c>
      <c r="F1137" s="7" t="str">
        <f t="shared" si="264"/>
        <v>男</v>
      </c>
      <c r="G1137" s="7" t="s">
        <v>1055</v>
      </c>
      <c r="H1137" s="8"/>
    </row>
    <row r="1138" ht="25" customHeight="1" spans="1:8">
      <c r="A1138" s="6">
        <v>1136</v>
      </c>
      <c r="B1138" s="7" t="str">
        <f t="shared" si="263"/>
        <v>103</v>
      </c>
      <c r="C1138" s="7" t="s">
        <v>663</v>
      </c>
      <c r="D1138" s="7" t="s">
        <v>664</v>
      </c>
      <c r="E1138" s="7" t="str">
        <f>"陈威"</f>
        <v>陈威</v>
      </c>
      <c r="F1138" s="7" t="str">
        <f t="shared" si="264"/>
        <v>男</v>
      </c>
      <c r="G1138" s="7" t="s">
        <v>1056</v>
      </c>
      <c r="H1138" s="8"/>
    </row>
    <row r="1139" ht="25" customHeight="1" spans="1:8">
      <c r="A1139" s="6">
        <v>1137</v>
      </c>
      <c r="B1139" s="7" t="str">
        <f t="shared" si="263"/>
        <v>103</v>
      </c>
      <c r="C1139" s="7" t="s">
        <v>663</v>
      </c>
      <c r="D1139" s="7" t="s">
        <v>664</v>
      </c>
      <c r="E1139" s="7" t="str">
        <f>"潘小果"</f>
        <v>潘小果</v>
      </c>
      <c r="F1139" s="7" t="str">
        <f t="shared" ref="F1139:F1141" si="265">"女"</f>
        <v>女</v>
      </c>
      <c r="G1139" s="7" t="s">
        <v>1057</v>
      </c>
      <c r="H1139" s="8"/>
    </row>
    <row r="1140" ht="25" customHeight="1" spans="1:8">
      <c r="A1140" s="6">
        <v>1138</v>
      </c>
      <c r="B1140" s="7" t="str">
        <f t="shared" si="263"/>
        <v>103</v>
      </c>
      <c r="C1140" s="7" t="s">
        <v>663</v>
      </c>
      <c r="D1140" s="7" t="s">
        <v>664</v>
      </c>
      <c r="E1140" s="7" t="str">
        <f>"李娣滨"</f>
        <v>李娣滨</v>
      </c>
      <c r="F1140" s="7" t="str">
        <f t="shared" si="265"/>
        <v>女</v>
      </c>
      <c r="G1140" s="7" t="s">
        <v>1058</v>
      </c>
      <c r="H1140" s="8"/>
    </row>
    <row r="1141" ht="25" customHeight="1" spans="1:8">
      <c r="A1141" s="6">
        <v>1139</v>
      </c>
      <c r="B1141" s="7" t="str">
        <f t="shared" si="263"/>
        <v>103</v>
      </c>
      <c r="C1141" s="7" t="s">
        <v>663</v>
      </c>
      <c r="D1141" s="7" t="s">
        <v>664</v>
      </c>
      <c r="E1141" s="7" t="str">
        <f>"王燕双"</f>
        <v>王燕双</v>
      </c>
      <c r="F1141" s="7" t="str">
        <f t="shared" si="265"/>
        <v>女</v>
      </c>
      <c r="G1141" s="7" t="s">
        <v>1059</v>
      </c>
      <c r="H1141" s="8"/>
    </row>
    <row r="1142" ht="25" customHeight="1" spans="1:8">
      <c r="A1142" s="6">
        <v>1140</v>
      </c>
      <c r="B1142" s="7" t="str">
        <f t="shared" si="263"/>
        <v>103</v>
      </c>
      <c r="C1142" s="7" t="s">
        <v>663</v>
      </c>
      <c r="D1142" s="7" t="s">
        <v>664</v>
      </c>
      <c r="E1142" s="7" t="str">
        <f>"吴源权"</f>
        <v>吴源权</v>
      </c>
      <c r="F1142" s="7" t="str">
        <f t="shared" ref="F1142:F1145" si="266">"男"</f>
        <v>男</v>
      </c>
      <c r="G1142" s="7" t="s">
        <v>1060</v>
      </c>
      <c r="H1142" s="8"/>
    </row>
    <row r="1143" ht="25" customHeight="1" spans="1:8">
      <c r="A1143" s="6">
        <v>1141</v>
      </c>
      <c r="B1143" s="7" t="str">
        <f t="shared" si="263"/>
        <v>103</v>
      </c>
      <c r="C1143" s="7" t="s">
        <v>663</v>
      </c>
      <c r="D1143" s="7" t="s">
        <v>664</v>
      </c>
      <c r="E1143" s="7" t="str">
        <f>"李智"</f>
        <v>李智</v>
      </c>
      <c r="F1143" s="7" t="str">
        <f t="shared" si="266"/>
        <v>男</v>
      </c>
      <c r="G1143" s="7" t="s">
        <v>1061</v>
      </c>
      <c r="H1143" s="8"/>
    </row>
    <row r="1144" ht="25" customHeight="1" spans="1:8">
      <c r="A1144" s="6">
        <v>1142</v>
      </c>
      <c r="B1144" s="7" t="str">
        <f t="shared" si="263"/>
        <v>103</v>
      </c>
      <c r="C1144" s="7" t="s">
        <v>663</v>
      </c>
      <c r="D1144" s="7" t="s">
        <v>664</v>
      </c>
      <c r="E1144" s="7" t="str">
        <f>"张锦秋"</f>
        <v>张锦秋</v>
      </c>
      <c r="F1144" s="7" t="str">
        <f t="shared" ref="F1144:F1148" si="267">"女"</f>
        <v>女</v>
      </c>
      <c r="G1144" s="7" t="s">
        <v>1062</v>
      </c>
      <c r="H1144" s="8"/>
    </row>
    <row r="1145" ht="25" customHeight="1" spans="1:8">
      <c r="A1145" s="6">
        <v>1143</v>
      </c>
      <c r="B1145" s="7" t="str">
        <f t="shared" si="263"/>
        <v>103</v>
      </c>
      <c r="C1145" s="7" t="s">
        <v>663</v>
      </c>
      <c r="D1145" s="7" t="s">
        <v>664</v>
      </c>
      <c r="E1145" s="7" t="str">
        <f>"陈明科"</f>
        <v>陈明科</v>
      </c>
      <c r="F1145" s="7" t="str">
        <f t="shared" si="266"/>
        <v>男</v>
      </c>
      <c r="G1145" s="7" t="s">
        <v>644</v>
      </c>
      <c r="H1145" s="8"/>
    </row>
    <row r="1146" ht="25" customHeight="1" spans="1:8">
      <c r="A1146" s="6">
        <v>1144</v>
      </c>
      <c r="B1146" s="7" t="str">
        <f t="shared" si="263"/>
        <v>103</v>
      </c>
      <c r="C1146" s="7" t="s">
        <v>663</v>
      </c>
      <c r="D1146" s="7" t="s">
        <v>664</v>
      </c>
      <c r="E1146" s="7" t="str">
        <f>"刘卓兰"</f>
        <v>刘卓兰</v>
      </c>
      <c r="F1146" s="7" t="str">
        <f t="shared" si="267"/>
        <v>女</v>
      </c>
      <c r="G1146" s="7" t="s">
        <v>1063</v>
      </c>
      <c r="H1146" s="8"/>
    </row>
    <row r="1147" ht="25" customHeight="1" spans="1:8">
      <c r="A1147" s="6">
        <v>1145</v>
      </c>
      <c r="B1147" s="7" t="str">
        <f t="shared" si="263"/>
        <v>103</v>
      </c>
      <c r="C1147" s="7" t="s">
        <v>663</v>
      </c>
      <c r="D1147" s="7" t="s">
        <v>664</v>
      </c>
      <c r="E1147" s="7" t="str">
        <f>"许婷婷"</f>
        <v>许婷婷</v>
      </c>
      <c r="F1147" s="7" t="str">
        <f t="shared" si="267"/>
        <v>女</v>
      </c>
      <c r="G1147" s="7" t="s">
        <v>415</v>
      </c>
      <c r="H1147" s="8"/>
    </row>
    <row r="1148" ht="25" customHeight="1" spans="1:8">
      <c r="A1148" s="6">
        <v>1146</v>
      </c>
      <c r="B1148" s="7" t="str">
        <f t="shared" si="263"/>
        <v>103</v>
      </c>
      <c r="C1148" s="7" t="s">
        <v>663</v>
      </c>
      <c r="D1148" s="7" t="s">
        <v>664</v>
      </c>
      <c r="E1148" s="7" t="str">
        <f>"黄海珍"</f>
        <v>黄海珍</v>
      </c>
      <c r="F1148" s="7" t="str">
        <f t="shared" si="267"/>
        <v>女</v>
      </c>
      <c r="G1148" s="7" t="s">
        <v>1064</v>
      </c>
      <c r="H1148" s="8"/>
    </row>
    <row r="1149" ht="25" customHeight="1" spans="1:8">
      <c r="A1149" s="6">
        <v>1147</v>
      </c>
      <c r="B1149" s="7" t="str">
        <f t="shared" si="263"/>
        <v>103</v>
      </c>
      <c r="C1149" s="7" t="s">
        <v>663</v>
      </c>
      <c r="D1149" s="7" t="s">
        <v>664</v>
      </c>
      <c r="E1149" s="7" t="str">
        <f>"段毅"</f>
        <v>段毅</v>
      </c>
      <c r="F1149" s="7" t="str">
        <f t="shared" ref="F1149:F1154" si="268">"男"</f>
        <v>男</v>
      </c>
      <c r="G1149" s="7" t="s">
        <v>1065</v>
      </c>
      <c r="H1149" s="8"/>
    </row>
    <row r="1150" ht="25" customHeight="1" spans="1:8">
      <c r="A1150" s="6">
        <v>1148</v>
      </c>
      <c r="B1150" s="7" t="str">
        <f t="shared" si="263"/>
        <v>103</v>
      </c>
      <c r="C1150" s="7" t="s">
        <v>663</v>
      </c>
      <c r="D1150" s="7" t="s">
        <v>664</v>
      </c>
      <c r="E1150" s="7" t="str">
        <f>"黄天姿"</f>
        <v>黄天姿</v>
      </c>
      <c r="F1150" s="7" t="str">
        <f t="shared" ref="F1150:F1155" si="269">"女"</f>
        <v>女</v>
      </c>
      <c r="G1150" s="7" t="s">
        <v>1066</v>
      </c>
      <c r="H1150" s="8"/>
    </row>
    <row r="1151" ht="25" customHeight="1" spans="1:8">
      <c r="A1151" s="6">
        <v>1149</v>
      </c>
      <c r="B1151" s="7" t="str">
        <f t="shared" si="263"/>
        <v>103</v>
      </c>
      <c r="C1151" s="7" t="s">
        <v>663</v>
      </c>
      <c r="D1151" s="7" t="s">
        <v>664</v>
      </c>
      <c r="E1151" s="7" t="str">
        <f>"陈学选"</f>
        <v>陈学选</v>
      </c>
      <c r="F1151" s="7" t="str">
        <f t="shared" si="269"/>
        <v>女</v>
      </c>
      <c r="G1151" s="7" t="s">
        <v>1067</v>
      </c>
      <c r="H1151" s="8"/>
    </row>
    <row r="1152" ht="25" customHeight="1" spans="1:8">
      <c r="A1152" s="6">
        <v>1150</v>
      </c>
      <c r="B1152" s="7" t="str">
        <f t="shared" si="263"/>
        <v>103</v>
      </c>
      <c r="C1152" s="7" t="s">
        <v>663</v>
      </c>
      <c r="D1152" s="7" t="s">
        <v>664</v>
      </c>
      <c r="E1152" s="7" t="str">
        <f>"文泽航"</f>
        <v>文泽航</v>
      </c>
      <c r="F1152" s="7" t="str">
        <f t="shared" si="268"/>
        <v>男</v>
      </c>
      <c r="G1152" s="7" t="s">
        <v>1068</v>
      </c>
      <c r="H1152" s="8"/>
    </row>
    <row r="1153" ht="25" customHeight="1" spans="1:8">
      <c r="A1153" s="6">
        <v>1151</v>
      </c>
      <c r="B1153" s="7" t="str">
        <f t="shared" si="263"/>
        <v>103</v>
      </c>
      <c r="C1153" s="7" t="s">
        <v>663</v>
      </c>
      <c r="D1153" s="7" t="s">
        <v>664</v>
      </c>
      <c r="E1153" s="7" t="str">
        <f>"黄世权"</f>
        <v>黄世权</v>
      </c>
      <c r="F1153" s="7" t="str">
        <f t="shared" si="268"/>
        <v>男</v>
      </c>
      <c r="G1153" s="7" t="s">
        <v>1069</v>
      </c>
      <c r="H1153" s="8"/>
    </row>
    <row r="1154" ht="25" customHeight="1" spans="1:8">
      <c r="A1154" s="6">
        <v>1152</v>
      </c>
      <c r="B1154" s="7" t="str">
        <f t="shared" si="263"/>
        <v>103</v>
      </c>
      <c r="C1154" s="7" t="s">
        <v>663</v>
      </c>
      <c r="D1154" s="7" t="s">
        <v>664</v>
      </c>
      <c r="E1154" s="7" t="str">
        <f>"钟烨烘"</f>
        <v>钟烨烘</v>
      </c>
      <c r="F1154" s="7" t="str">
        <f t="shared" si="268"/>
        <v>男</v>
      </c>
      <c r="G1154" s="7" t="s">
        <v>1070</v>
      </c>
      <c r="H1154" s="8"/>
    </row>
    <row r="1155" ht="25" customHeight="1" spans="1:8">
      <c r="A1155" s="6">
        <v>1153</v>
      </c>
      <c r="B1155" s="7" t="str">
        <f t="shared" si="263"/>
        <v>103</v>
      </c>
      <c r="C1155" s="7" t="s">
        <v>663</v>
      </c>
      <c r="D1155" s="7" t="s">
        <v>664</v>
      </c>
      <c r="E1155" s="7" t="str">
        <f>"叶艳红"</f>
        <v>叶艳红</v>
      </c>
      <c r="F1155" s="7" t="str">
        <f t="shared" si="269"/>
        <v>女</v>
      </c>
      <c r="G1155" s="7" t="s">
        <v>1071</v>
      </c>
      <c r="H1155" s="8"/>
    </row>
    <row r="1156" ht="25" customHeight="1" spans="1:8">
      <c r="A1156" s="6">
        <v>1154</v>
      </c>
      <c r="B1156" s="7" t="str">
        <f t="shared" si="263"/>
        <v>103</v>
      </c>
      <c r="C1156" s="7" t="s">
        <v>663</v>
      </c>
      <c r="D1156" s="7" t="s">
        <v>664</v>
      </c>
      <c r="E1156" s="7" t="str">
        <f>"刘叙佑"</f>
        <v>刘叙佑</v>
      </c>
      <c r="F1156" s="7" t="str">
        <f t="shared" ref="F1156:F1160" si="270">"男"</f>
        <v>男</v>
      </c>
      <c r="G1156" s="7" t="s">
        <v>1072</v>
      </c>
      <c r="H1156" s="8"/>
    </row>
    <row r="1157" ht="25" customHeight="1" spans="1:8">
      <c r="A1157" s="6">
        <v>1155</v>
      </c>
      <c r="B1157" s="7" t="str">
        <f t="shared" si="263"/>
        <v>103</v>
      </c>
      <c r="C1157" s="7" t="s">
        <v>663</v>
      </c>
      <c r="D1157" s="7" t="s">
        <v>664</v>
      </c>
      <c r="E1157" s="7" t="str">
        <f>"纪新玲"</f>
        <v>纪新玲</v>
      </c>
      <c r="F1157" s="7" t="str">
        <f t="shared" ref="F1157:F1163" si="271">"女"</f>
        <v>女</v>
      </c>
      <c r="G1157" s="7" t="s">
        <v>1073</v>
      </c>
      <c r="H1157" s="8"/>
    </row>
    <row r="1158" ht="25" customHeight="1" spans="1:8">
      <c r="A1158" s="6">
        <v>1156</v>
      </c>
      <c r="B1158" s="7" t="str">
        <f t="shared" si="263"/>
        <v>103</v>
      </c>
      <c r="C1158" s="7" t="s">
        <v>663</v>
      </c>
      <c r="D1158" s="7" t="s">
        <v>664</v>
      </c>
      <c r="E1158" s="7" t="str">
        <f>"邢媛"</f>
        <v>邢媛</v>
      </c>
      <c r="F1158" s="7" t="str">
        <f t="shared" si="271"/>
        <v>女</v>
      </c>
      <c r="G1158" s="7" t="s">
        <v>684</v>
      </c>
      <c r="H1158" s="8"/>
    </row>
    <row r="1159" ht="25" customHeight="1" spans="1:8">
      <c r="A1159" s="6">
        <v>1157</v>
      </c>
      <c r="B1159" s="7" t="str">
        <f t="shared" si="263"/>
        <v>103</v>
      </c>
      <c r="C1159" s="7" t="s">
        <v>663</v>
      </c>
      <c r="D1159" s="7" t="s">
        <v>664</v>
      </c>
      <c r="E1159" s="7" t="str">
        <f>"李德清"</f>
        <v>李德清</v>
      </c>
      <c r="F1159" s="7" t="str">
        <f t="shared" si="270"/>
        <v>男</v>
      </c>
      <c r="G1159" s="7" t="s">
        <v>578</v>
      </c>
      <c r="H1159" s="8"/>
    </row>
    <row r="1160" ht="25" customHeight="1" spans="1:8">
      <c r="A1160" s="6">
        <v>1158</v>
      </c>
      <c r="B1160" s="7" t="str">
        <f t="shared" si="263"/>
        <v>103</v>
      </c>
      <c r="C1160" s="7" t="s">
        <v>663</v>
      </c>
      <c r="D1160" s="7" t="s">
        <v>664</v>
      </c>
      <c r="E1160" s="7" t="str">
        <f>"杨联杰"</f>
        <v>杨联杰</v>
      </c>
      <c r="F1160" s="7" t="str">
        <f t="shared" si="270"/>
        <v>男</v>
      </c>
      <c r="G1160" s="7" t="s">
        <v>1074</v>
      </c>
      <c r="H1160" s="8"/>
    </row>
    <row r="1161" ht="25" customHeight="1" spans="1:8">
      <c r="A1161" s="6">
        <v>1159</v>
      </c>
      <c r="B1161" s="7" t="str">
        <f t="shared" si="263"/>
        <v>103</v>
      </c>
      <c r="C1161" s="7" t="s">
        <v>663</v>
      </c>
      <c r="D1161" s="7" t="s">
        <v>664</v>
      </c>
      <c r="E1161" s="7" t="str">
        <f>"陈湘"</f>
        <v>陈湘</v>
      </c>
      <c r="F1161" s="7" t="str">
        <f t="shared" si="271"/>
        <v>女</v>
      </c>
      <c r="G1161" s="7" t="s">
        <v>352</v>
      </c>
      <c r="H1161" s="8"/>
    </row>
    <row r="1162" ht="25" customHeight="1" spans="1:8">
      <c r="A1162" s="6">
        <v>1160</v>
      </c>
      <c r="B1162" s="7" t="str">
        <f t="shared" si="263"/>
        <v>103</v>
      </c>
      <c r="C1162" s="7" t="s">
        <v>663</v>
      </c>
      <c r="D1162" s="7" t="s">
        <v>664</v>
      </c>
      <c r="E1162" s="7" t="str">
        <f>"赵瑞雪"</f>
        <v>赵瑞雪</v>
      </c>
      <c r="F1162" s="7" t="str">
        <f t="shared" si="271"/>
        <v>女</v>
      </c>
      <c r="G1162" s="7" t="s">
        <v>1075</v>
      </c>
      <c r="H1162" s="8"/>
    </row>
    <row r="1163" ht="25" customHeight="1" spans="1:8">
      <c r="A1163" s="6">
        <v>1161</v>
      </c>
      <c r="B1163" s="7" t="str">
        <f t="shared" si="263"/>
        <v>103</v>
      </c>
      <c r="C1163" s="7" t="s">
        <v>663</v>
      </c>
      <c r="D1163" s="7" t="s">
        <v>664</v>
      </c>
      <c r="E1163" s="7" t="str">
        <f>"王彦芝"</f>
        <v>王彦芝</v>
      </c>
      <c r="F1163" s="7" t="str">
        <f t="shared" si="271"/>
        <v>女</v>
      </c>
      <c r="G1163" s="7" t="s">
        <v>1076</v>
      </c>
      <c r="H1163" s="8"/>
    </row>
    <row r="1164" ht="25" customHeight="1" spans="1:8">
      <c r="A1164" s="6">
        <v>1162</v>
      </c>
      <c r="B1164" s="7" t="str">
        <f t="shared" si="263"/>
        <v>103</v>
      </c>
      <c r="C1164" s="7" t="s">
        <v>663</v>
      </c>
      <c r="D1164" s="7" t="s">
        <v>664</v>
      </c>
      <c r="E1164" s="7" t="str">
        <f>"陈正亮"</f>
        <v>陈正亮</v>
      </c>
      <c r="F1164" s="7" t="str">
        <f t="shared" ref="F1164:F1167" si="272">"男"</f>
        <v>男</v>
      </c>
      <c r="G1164" s="7" t="s">
        <v>1077</v>
      </c>
      <c r="H1164" s="8"/>
    </row>
    <row r="1165" ht="25" customHeight="1" spans="1:8">
      <c r="A1165" s="6">
        <v>1163</v>
      </c>
      <c r="B1165" s="7" t="str">
        <f t="shared" si="263"/>
        <v>103</v>
      </c>
      <c r="C1165" s="7" t="s">
        <v>663</v>
      </c>
      <c r="D1165" s="7" t="s">
        <v>664</v>
      </c>
      <c r="E1165" s="7" t="str">
        <f>"吕星辉"</f>
        <v>吕星辉</v>
      </c>
      <c r="F1165" s="7" t="str">
        <f t="shared" si="272"/>
        <v>男</v>
      </c>
      <c r="G1165" s="7" t="s">
        <v>1078</v>
      </c>
      <c r="H1165" s="8"/>
    </row>
    <row r="1166" ht="25" customHeight="1" spans="1:8">
      <c r="A1166" s="6">
        <v>1164</v>
      </c>
      <c r="B1166" s="7" t="str">
        <f t="shared" si="263"/>
        <v>103</v>
      </c>
      <c r="C1166" s="7" t="s">
        <v>663</v>
      </c>
      <c r="D1166" s="7" t="s">
        <v>664</v>
      </c>
      <c r="E1166" s="7" t="str">
        <f>"许晓玲"</f>
        <v>许晓玲</v>
      </c>
      <c r="F1166" s="7" t="str">
        <f t="shared" ref="F1166:F1171" si="273">"女"</f>
        <v>女</v>
      </c>
      <c r="G1166" s="7" t="s">
        <v>1079</v>
      </c>
      <c r="H1166" s="8"/>
    </row>
    <row r="1167" ht="25" customHeight="1" spans="1:8">
      <c r="A1167" s="6">
        <v>1165</v>
      </c>
      <c r="B1167" s="7" t="str">
        <f t="shared" si="263"/>
        <v>103</v>
      </c>
      <c r="C1167" s="7" t="s">
        <v>663</v>
      </c>
      <c r="D1167" s="7" t="s">
        <v>664</v>
      </c>
      <c r="E1167" s="7" t="str">
        <f>"符少芊"</f>
        <v>符少芊</v>
      </c>
      <c r="F1167" s="7" t="str">
        <f t="shared" si="272"/>
        <v>男</v>
      </c>
      <c r="G1167" s="7" t="s">
        <v>121</v>
      </c>
      <c r="H1167" s="8"/>
    </row>
    <row r="1168" ht="25" customHeight="1" spans="1:8">
      <c r="A1168" s="6">
        <v>1166</v>
      </c>
      <c r="B1168" s="7" t="str">
        <f t="shared" si="263"/>
        <v>103</v>
      </c>
      <c r="C1168" s="7" t="s">
        <v>663</v>
      </c>
      <c r="D1168" s="7" t="s">
        <v>664</v>
      </c>
      <c r="E1168" s="7" t="str">
        <f>"李林霞"</f>
        <v>李林霞</v>
      </c>
      <c r="F1168" s="7" t="str">
        <f t="shared" si="273"/>
        <v>女</v>
      </c>
      <c r="G1168" s="7" t="s">
        <v>326</v>
      </c>
      <c r="H1168" s="8"/>
    </row>
    <row r="1169" ht="25" customHeight="1" spans="1:8">
      <c r="A1169" s="6">
        <v>1167</v>
      </c>
      <c r="B1169" s="7" t="str">
        <f t="shared" si="263"/>
        <v>103</v>
      </c>
      <c r="C1169" s="7" t="s">
        <v>663</v>
      </c>
      <c r="D1169" s="7" t="s">
        <v>664</v>
      </c>
      <c r="E1169" s="7" t="str">
        <f>"洪涛"</f>
        <v>洪涛</v>
      </c>
      <c r="F1169" s="7" t="str">
        <f t="shared" ref="F1169:F1172" si="274">"男"</f>
        <v>男</v>
      </c>
      <c r="G1169" s="7" t="s">
        <v>932</v>
      </c>
      <c r="H1169" s="8"/>
    </row>
    <row r="1170" ht="25" customHeight="1" spans="1:8">
      <c r="A1170" s="6">
        <v>1168</v>
      </c>
      <c r="B1170" s="7" t="str">
        <f t="shared" si="263"/>
        <v>103</v>
      </c>
      <c r="C1170" s="7" t="s">
        <v>663</v>
      </c>
      <c r="D1170" s="7" t="s">
        <v>664</v>
      </c>
      <c r="E1170" s="7" t="str">
        <f>"潘健"</f>
        <v>潘健</v>
      </c>
      <c r="F1170" s="7" t="str">
        <f t="shared" si="274"/>
        <v>男</v>
      </c>
      <c r="G1170" s="7" t="s">
        <v>417</v>
      </c>
      <c r="H1170" s="8"/>
    </row>
    <row r="1171" ht="25" customHeight="1" spans="1:8">
      <c r="A1171" s="6">
        <v>1169</v>
      </c>
      <c r="B1171" s="7" t="str">
        <f t="shared" si="263"/>
        <v>103</v>
      </c>
      <c r="C1171" s="7" t="s">
        <v>663</v>
      </c>
      <c r="D1171" s="7" t="s">
        <v>664</v>
      </c>
      <c r="E1171" s="7" t="str">
        <f>"钟其琪"</f>
        <v>钟其琪</v>
      </c>
      <c r="F1171" s="7" t="str">
        <f t="shared" si="273"/>
        <v>女</v>
      </c>
      <c r="G1171" s="7" t="s">
        <v>1080</v>
      </c>
      <c r="H1171" s="8"/>
    </row>
    <row r="1172" ht="25" customHeight="1" spans="1:8">
      <c r="A1172" s="6">
        <v>1170</v>
      </c>
      <c r="B1172" s="7" t="str">
        <f t="shared" si="263"/>
        <v>103</v>
      </c>
      <c r="C1172" s="7" t="s">
        <v>663</v>
      </c>
      <c r="D1172" s="7" t="s">
        <v>664</v>
      </c>
      <c r="E1172" s="7" t="str">
        <f>"叶柯标"</f>
        <v>叶柯标</v>
      </c>
      <c r="F1172" s="7" t="str">
        <f t="shared" si="274"/>
        <v>男</v>
      </c>
      <c r="G1172" s="7" t="s">
        <v>1081</v>
      </c>
      <c r="H1172" s="8"/>
    </row>
    <row r="1173" ht="25" customHeight="1" spans="1:8">
      <c r="A1173" s="6">
        <v>1171</v>
      </c>
      <c r="B1173" s="7" t="str">
        <f t="shared" si="263"/>
        <v>103</v>
      </c>
      <c r="C1173" s="7" t="s">
        <v>663</v>
      </c>
      <c r="D1173" s="7" t="s">
        <v>664</v>
      </c>
      <c r="E1173" s="7" t="str">
        <f>"张琼霞"</f>
        <v>张琼霞</v>
      </c>
      <c r="F1173" s="7" t="str">
        <f t="shared" ref="F1173:F1177" si="275">"女"</f>
        <v>女</v>
      </c>
      <c r="G1173" s="7" t="s">
        <v>908</v>
      </c>
      <c r="H1173" s="8"/>
    </row>
    <row r="1174" ht="25" customHeight="1" spans="1:8">
      <c r="A1174" s="6">
        <v>1172</v>
      </c>
      <c r="B1174" s="7" t="str">
        <f t="shared" si="263"/>
        <v>103</v>
      </c>
      <c r="C1174" s="7" t="s">
        <v>663</v>
      </c>
      <c r="D1174" s="7" t="s">
        <v>664</v>
      </c>
      <c r="E1174" s="7" t="str">
        <f>"谢曼"</f>
        <v>谢曼</v>
      </c>
      <c r="F1174" s="7" t="str">
        <f t="shared" si="275"/>
        <v>女</v>
      </c>
      <c r="G1174" s="7" t="s">
        <v>1082</v>
      </c>
      <c r="H1174" s="8"/>
    </row>
    <row r="1175" ht="25" customHeight="1" spans="1:8">
      <c r="A1175" s="6">
        <v>1173</v>
      </c>
      <c r="B1175" s="7" t="str">
        <f t="shared" si="263"/>
        <v>103</v>
      </c>
      <c r="C1175" s="7" t="s">
        <v>663</v>
      </c>
      <c r="D1175" s="7" t="s">
        <v>664</v>
      </c>
      <c r="E1175" s="7" t="str">
        <f>"黎佳"</f>
        <v>黎佳</v>
      </c>
      <c r="F1175" s="7" t="str">
        <f t="shared" si="275"/>
        <v>女</v>
      </c>
      <c r="G1175" s="7" t="s">
        <v>1083</v>
      </c>
      <c r="H1175" s="8"/>
    </row>
    <row r="1176" ht="25" customHeight="1" spans="1:8">
      <c r="A1176" s="6">
        <v>1174</v>
      </c>
      <c r="B1176" s="7" t="str">
        <f t="shared" si="263"/>
        <v>103</v>
      </c>
      <c r="C1176" s="7" t="s">
        <v>663</v>
      </c>
      <c r="D1176" s="7" t="s">
        <v>664</v>
      </c>
      <c r="E1176" s="7" t="str">
        <f>"莫雪姣"</f>
        <v>莫雪姣</v>
      </c>
      <c r="F1176" s="7" t="str">
        <f t="shared" si="275"/>
        <v>女</v>
      </c>
      <c r="G1176" s="7" t="s">
        <v>1084</v>
      </c>
      <c r="H1176" s="8"/>
    </row>
    <row r="1177" ht="25" customHeight="1" spans="1:8">
      <c r="A1177" s="6">
        <v>1175</v>
      </c>
      <c r="B1177" s="7" t="str">
        <f t="shared" si="263"/>
        <v>103</v>
      </c>
      <c r="C1177" s="7" t="s">
        <v>663</v>
      </c>
      <c r="D1177" s="7" t="s">
        <v>664</v>
      </c>
      <c r="E1177" s="7" t="str">
        <f>"董慧英"</f>
        <v>董慧英</v>
      </c>
      <c r="F1177" s="7" t="str">
        <f t="shared" si="275"/>
        <v>女</v>
      </c>
      <c r="G1177" s="7" t="s">
        <v>1085</v>
      </c>
      <c r="H1177" s="8"/>
    </row>
    <row r="1178" ht="25" customHeight="1" spans="1:8">
      <c r="A1178" s="6">
        <v>1176</v>
      </c>
      <c r="B1178" s="7" t="str">
        <f t="shared" si="263"/>
        <v>103</v>
      </c>
      <c r="C1178" s="7" t="s">
        <v>663</v>
      </c>
      <c r="D1178" s="7" t="s">
        <v>664</v>
      </c>
      <c r="E1178" s="7" t="str">
        <f>"吕健豪"</f>
        <v>吕健豪</v>
      </c>
      <c r="F1178" s="7" t="str">
        <f t="shared" ref="F1178:F1181" si="276">"男"</f>
        <v>男</v>
      </c>
      <c r="G1178" s="7" t="s">
        <v>676</v>
      </c>
      <c r="H1178" s="8"/>
    </row>
    <row r="1179" ht="25" customHeight="1" spans="1:8">
      <c r="A1179" s="6">
        <v>1177</v>
      </c>
      <c r="B1179" s="7" t="str">
        <f t="shared" si="263"/>
        <v>103</v>
      </c>
      <c r="C1179" s="7" t="s">
        <v>663</v>
      </c>
      <c r="D1179" s="7" t="s">
        <v>664</v>
      </c>
      <c r="E1179" s="7" t="str">
        <f>"邢福凯"</f>
        <v>邢福凯</v>
      </c>
      <c r="F1179" s="7" t="str">
        <f t="shared" si="276"/>
        <v>男</v>
      </c>
      <c r="G1179" s="7" t="s">
        <v>1086</v>
      </c>
      <c r="H1179" s="8"/>
    </row>
    <row r="1180" ht="25" customHeight="1" spans="1:8">
      <c r="A1180" s="6">
        <v>1178</v>
      </c>
      <c r="B1180" s="7" t="str">
        <f t="shared" si="263"/>
        <v>103</v>
      </c>
      <c r="C1180" s="7" t="s">
        <v>663</v>
      </c>
      <c r="D1180" s="7" t="s">
        <v>664</v>
      </c>
      <c r="E1180" s="7" t="str">
        <f>"王立学"</f>
        <v>王立学</v>
      </c>
      <c r="F1180" s="7" t="str">
        <f t="shared" si="276"/>
        <v>男</v>
      </c>
      <c r="G1180" s="7" t="s">
        <v>1087</v>
      </c>
      <c r="H1180" s="8"/>
    </row>
    <row r="1181" ht="25" customHeight="1" spans="1:8">
      <c r="A1181" s="6">
        <v>1179</v>
      </c>
      <c r="B1181" s="7" t="str">
        <f t="shared" si="263"/>
        <v>103</v>
      </c>
      <c r="C1181" s="7" t="s">
        <v>663</v>
      </c>
      <c r="D1181" s="7" t="s">
        <v>664</v>
      </c>
      <c r="E1181" s="7" t="str">
        <f>"李林润"</f>
        <v>李林润</v>
      </c>
      <c r="F1181" s="7" t="str">
        <f t="shared" si="276"/>
        <v>男</v>
      </c>
      <c r="G1181" s="7" t="s">
        <v>1088</v>
      </c>
      <c r="H1181" s="8"/>
    </row>
    <row r="1182" ht="25" customHeight="1" spans="1:8">
      <c r="A1182" s="6">
        <v>1180</v>
      </c>
      <c r="B1182" s="7" t="str">
        <f t="shared" si="263"/>
        <v>103</v>
      </c>
      <c r="C1182" s="7" t="s">
        <v>663</v>
      </c>
      <c r="D1182" s="7" t="s">
        <v>664</v>
      </c>
      <c r="E1182" s="7" t="str">
        <f>"王子墨"</f>
        <v>王子墨</v>
      </c>
      <c r="F1182" s="7" t="str">
        <f t="shared" ref="F1182:F1187" si="277">"女"</f>
        <v>女</v>
      </c>
      <c r="G1182" s="7" t="s">
        <v>660</v>
      </c>
      <c r="H1182" s="8"/>
    </row>
    <row r="1183" ht="25" customHeight="1" spans="1:8">
      <c r="A1183" s="6">
        <v>1181</v>
      </c>
      <c r="B1183" s="7" t="str">
        <f t="shared" si="263"/>
        <v>103</v>
      </c>
      <c r="C1183" s="7" t="s">
        <v>663</v>
      </c>
      <c r="D1183" s="7" t="s">
        <v>664</v>
      </c>
      <c r="E1183" s="7" t="str">
        <f>"孙柏盛"</f>
        <v>孙柏盛</v>
      </c>
      <c r="F1183" s="7" t="str">
        <f t="shared" ref="F1183:F1190" si="278">"男"</f>
        <v>男</v>
      </c>
      <c r="G1183" s="7" t="s">
        <v>1089</v>
      </c>
      <c r="H1183" s="8"/>
    </row>
    <row r="1184" ht="25" customHeight="1" spans="1:8">
      <c r="A1184" s="6">
        <v>1182</v>
      </c>
      <c r="B1184" s="7" t="str">
        <f t="shared" si="263"/>
        <v>103</v>
      </c>
      <c r="C1184" s="7" t="s">
        <v>663</v>
      </c>
      <c r="D1184" s="7" t="s">
        <v>664</v>
      </c>
      <c r="E1184" s="7" t="str">
        <f>"纪新帅"</f>
        <v>纪新帅</v>
      </c>
      <c r="F1184" s="7" t="str">
        <f t="shared" si="278"/>
        <v>男</v>
      </c>
      <c r="G1184" s="7" t="s">
        <v>835</v>
      </c>
      <c r="H1184" s="8"/>
    </row>
    <row r="1185" ht="25" customHeight="1" spans="1:8">
      <c r="A1185" s="6">
        <v>1183</v>
      </c>
      <c r="B1185" s="7" t="str">
        <f t="shared" si="263"/>
        <v>103</v>
      </c>
      <c r="C1185" s="7" t="s">
        <v>663</v>
      </c>
      <c r="D1185" s="7" t="s">
        <v>664</v>
      </c>
      <c r="E1185" s="7" t="str">
        <f>"杜荣英"</f>
        <v>杜荣英</v>
      </c>
      <c r="F1185" s="7" t="str">
        <f t="shared" si="277"/>
        <v>女</v>
      </c>
      <c r="G1185" s="7" t="s">
        <v>1090</v>
      </c>
      <c r="H1185" s="8"/>
    </row>
    <row r="1186" ht="25" customHeight="1" spans="1:8">
      <c r="A1186" s="6">
        <v>1184</v>
      </c>
      <c r="B1186" s="7" t="str">
        <f t="shared" si="263"/>
        <v>103</v>
      </c>
      <c r="C1186" s="7" t="s">
        <v>663</v>
      </c>
      <c r="D1186" s="7" t="s">
        <v>664</v>
      </c>
      <c r="E1186" s="7" t="str">
        <f>"符家佳"</f>
        <v>符家佳</v>
      </c>
      <c r="F1186" s="7" t="str">
        <f t="shared" si="277"/>
        <v>女</v>
      </c>
      <c r="G1186" s="7" t="s">
        <v>1091</v>
      </c>
      <c r="H1186" s="8"/>
    </row>
    <row r="1187" ht="25" customHeight="1" spans="1:8">
      <c r="A1187" s="6">
        <v>1185</v>
      </c>
      <c r="B1187" s="7" t="str">
        <f t="shared" si="263"/>
        <v>103</v>
      </c>
      <c r="C1187" s="7" t="s">
        <v>663</v>
      </c>
      <c r="D1187" s="7" t="s">
        <v>664</v>
      </c>
      <c r="E1187" s="7" t="str">
        <f>"林倩媛"</f>
        <v>林倩媛</v>
      </c>
      <c r="F1187" s="7" t="str">
        <f t="shared" si="277"/>
        <v>女</v>
      </c>
      <c r="G1187" s="7" t="s">
        <v>1092</v>
      </c>
      <c r="H1187" s="8"/>
    </row>
    <row r="1188" ht="25" customHeight="1" spans="1:8">
      <c r="A1188" s="6">
        <v>1186</v>
      </c>
      <c r="B1188" s="7" t="str">
        <f t="shared" si="263"/>
        <v>103</v>
      </c>
      <c r="C1188" s="7" t="s">
        <v>663</v>
      </c>
      <c r="D1188" s="7" t="s">
        <v>664</v>
      </c>
      <c r="E1188" s="7" t="str">
        <f>"刘业强"</f>
        <v>刘业强</v>
      </c>
      <c r="F1188" s="7" t="str">
        <f t="shared" si="278"/>
        <v>男</v>
      </c>
      <c r="G1188" s="7" t="s">
        <v>1093</v>
      </c>
      <c r="H1188" s="8"/>
    </row>
    <row r="1189" ht="25" customHeight="1" spans="1:8">
      <c r="A1189" s="6">
        <v>1187</v>
      </c>
      <c r="B1189" s="7" t="str">
        <f t="shared" si="263"/>
        <v>103</v>
      </c>
      <c r="C1189" s="7" t="s">
        <v>663</v>
      </c>
      <c r="D1189" s="7" t="s">
        <v>664</v>
      </c>
      <c r="E1189" s="7" t="str">
        <f>"李为"</f>
        <v>李为</v>
      </c>
      <c r="F1189" s="7" t="str">
        <f t="shared" si="278"/>
        <v>男</v>
      </c>
      <c r="G1189" s="7" t="s">
        <v>1094</v>
      </c>
      <c r="H1189" s="8"/>
    </row>
    <row r="1190" ht="25" customHeight="1" spans="1:8">
      <c r="A1190" s="6">
        <v>1188</v>
      </c>
      <c r="B1190" s="7" t="str">
        <f t="shared" si="263"/>
        <v>103</v>
      </c>
      <c r="C1190" s="7" t="s">
        <v>663</v>
      </c>
      <c r="D1190" s="7" t="s">
        <v>664</v>
      </c>
      <c r="E1190" s="7" t="str">
        <f>"唐壮虎"</f>
        <v>唐壮虎</v>
      </c>
      <c r="F1190" s="7" t="str">
        <f t="shared" si="278"/>
        <v>男</v>
      </c>
      <c r="G1190" s="7" t="s">
        <v>1095</v>
      </c>
      <c r="H1190" s="8"/>
    </row>
    <row r="1191" ht="25" customHeight="1" spans="1:8">
      <c r="A1191" s="6">
        <v>1189</v>
      </c>
      <c r="B1191" s="7" t="str">
        <f t="shared" si="263"/>
        <v>103</v>
      </c>
      <c r="C1191" s="7" t="s">
        <v>663</v>
      </c>
      <c r="D1191" s="7" t="s">
        <v>664</v>
      </c>
      <c r="E1191" s="7" t="str">
        <f>"梁承燕"</f>
        <v>梁承燕</v>
      </c>
      <c r="F1191" s="7" t="str">
        <f t="shared" ref="F1191:F1195" si="279">"女"</f>
        <v>女</v>
      </c>
      <c r="G1191" s="7" t="s">
        <v>798</v>
      </c>
      <c r="H1191" s="8"/>
    </row>
    <row r="1192" ht="25" customHeight="1" spans="1:8">
      <c r="A1192" s="6">
        <v>1190</v>
      </c>
      <c r="B1192" s="7" t="str">
        <f t="shared" ref="B1192:B1255" si="280">"103"</f>
        <v>103</v>
      </c>
      <c r="C1192" s="7" t="s">
        <v>663</v>
      </c>
      <c r="D1192" s="7" t="s">
        <v>664</v>
      </c>
      <c r="E1192" s="7" t="str">
        <f>"叶明之"</f>
        <v>叶明之</v>
      </c>
      <c r="F1192" s="7" t="str">
        <f>"男"</f>
        <v>男</v>
      </c>
      <c r="G1192" s="7" t="s">
        <v>1096</v>
      </c>
      <c r="H1192" s="8"/>
    </row>
    <row r="1193" ht="25" customHeight="1" spans="1:8">
      <c r="A1193" s="6">
        <v>1191</v>
      </c>
      <c r="B1193" s="7" t="str">
        <f t="shared" si="280"/>
        <v>103</v>
      </c>
      <c r="C1193" s="7" t="s">
        <v>663</v>
      </c>
      <c r="D1193" s="7" t="s">
        <v>664</v>
      </c>
      <c r="E1193" s="7" t="str">
        <f>"石莎莎"</f>
        <v>石莎莎</v>
      </c>
      <c r="F1193" s="7" t="str">
        <f t="shared" si="279"/>
        <v>女</v>
      </c>
      <c r="G1193" s="7" t="s">
        <v>89</v>
      </c>
      <c r="H1193" s="8"/>
    </row>
    <row r="1194" ht="25" customHeight="1" spans="1:8">
      <c r="A1194" s="6">
        <v>1192</v>
      </c>
      <c r="B1194" s="7" t="str">
        <f t="shared" si="280"/>
        <v>103</v>
      </c>
      <c r="C1194" s="7" t="s">
        <v>663</v>
      </c>
      <c r="D1194" s="7" t="s">
        <v>664</v>
      </c>
      <c r="E1194" s="7" t="str">
        <f>"冯悦"</f>
        <v>冯悦</v>
      </c>
      <c r="F1194" s="7" t="str">
        <f t="shared" si="279"/>
        <v>女</v>
      </c>
      <c r="G1194" s="7" t="s">
        <v>1097</v>
      </c>
      <c r="H1194" s="8"/>
    </row>
    <row r="1195" ht="25" customHeight="1" spans="1:8">
      <c r="A1195" s="6">
        <v>1193</v>
      </c>
      <c r="B1195" s="7" t="str">
        <f t="shared" si="280"/>
        <v>103</v>
      </c>
      <c r="C1195" s="7" t="s">
        <v>663</v>
      </c>
      <c r="D1195" s="7" t="s">
        <v>664</v>
      </c>
      <c r="E1195" s="7" t="str">
        <f>"蔡銮"</f>
        <v>蔡銮</v>
      </c>
      <c r="F1195" s="7" t="str">
        <f t="shared" si="279"/>
        <v>女</v>
      </c>
      <c r="G1195" s="7" t="s">
        <v>1098</v>
      </c>
      <c r="H1195" s="8"/>
    </row>
    <row r="1196" ht="25" customHeight="1" spans="1:8">
      <c r="A1196" s="6">
        <v>1194</v>
      </c>
      <c r="B1196" s="7" t="str">
        <f t="shared" si="280"/>
        <v>103</v>
      </c>
      <c r="C1196" s="7" t="s">
        <v>663</v>
      </c>
      <c r="D1196" s="7" t="s">
        <v>664</v>
      </c>
      <c r="E1196" s="7" t="str">
        <f>"刘相勇"</f>
        <v>刘相勇</v>
      </c>
      <c r="F1196" s="7" t="str">
        <f t="shared" ref="F1196:F1199" si="281">"男"</f>
        <v>男</v>
      </c>
      <c r="G1196" s="7" t="s">
        <v>1099</v>
      </c>
      <c r="H1196" s="8"/>
    </row>
    <row r="1197" ht="25" customHeight="1" spans="1:8">
      <c r="A1197" s="6">
        <v>1195</v>
      </c>
      <c r="B1197" s="7" t="str">
        <f t="shared" si="280"/>
        <v>103</v>
      </c>
      <c r="C1197" s="7" t="s">
        <v>663</v>
      </c>
      <c r="D1197" s="7" t="s">
        <v>664</v>
      </c>
      <c r="E1197" s="7" t="str">
        <f>"王雯雯"</f>
        <v>王雯雯</v>
      </c>
      <c r="F1197" s="7" t="str">
        <f t="shared" ref="F1197:F1202" si="282">"女"</f>
        <v>女</v>
      </c>
      <c r="G1197" s="7" t="s">
        <v>1100</v>
      </c>
      <c r="H1197" s="8"/>
    </row>
    <row r="1198" ht="25" customHeight="1" spans="1:8">
      <c r="A1198" s="6">
        <v>1196</v>
      </c>
      <c r="B1198" s="7" t="str">
        <f t="shared" si="280"/>
        <v>103</v>
      </c>
      <c r="C1198" s="7" t="s">
        <v>663</v>
      </c>
      <c r="D1198" s="7" t="s">
        <v>664</v>
      </c>
      <c r="E1198" s="7" t="str">
        <f>"文金科"</f>
        <v>文金科</v>
      </c>
      <c r="F1198" s="7" t="str">
        <f t="shared" si="281"/>
        <v>男</v>
      </c>
      <c r="G1198" s="7" t="s">
        <v>1101</v>
      </c>
      <c r="H1198" s="8"/>
    </row>
    <row r="1199" ht="25" customHeight="1" spans="1:8">
      <c r="A1199" s="6">
        <v>1197</v>
      </c>
      <c r="B1199" s="7" t="str">
        <f t="shared" si="280"/>
        <v>103</v>
      </c>
      <c r="C1199" s="7" t="s">
        <v>663</v>
      </c>
      <c r="D1199" s="7" t="s">
        <v>664</v>
      </c>
      <c r="E1199" s="7" t="str">
        <f>"吴钟武"</f>
        <v>吴钟武</v>
      </c>
      <c r="F1199" s="7" t="str">
        <f t="shared" si="281"/>
        <v>男</v>
      </c>
      <c r="G1199" s="7" t="s">
        <v>1102</v>
      </c>
      <c r="H1199" s="8"/>
    </row>
    <row r="1200" ht="25" customHeight="1" spans="1:8">
      <c r="A1200" s="6">
        <v>1198</v>
      </c>
      <c r="B1200" s="7" t="str">
        <f t="shared" si="280"/>
        <v>103</v>
      </c>
      <c r="C1200" s="7" t="s">
        <v>663</v>
      </c>
      <c r="D1200" s="7" t="s">
        <v>664</v>
      </c>
      <c r="E1200" s="7" t="str">
        <f>"韦祎"</f>
        <v>韦祎</v>
      </c>
      <c r="F1200" s="7" t="str">
        <f t="shared" si="282"/>
        <v>女</v>
      </c>
      <c r="G1200" s="7" t="s">
        <v>1103</v>
      </c>
      <c r="H1200" s="8"/>
    </row>
    <row r="1201" ht="25" customHeight="1" spans="1:8">
      <c r="A1201" s="6">
        <v>1199</v>
      </c>
      <c r="B1201" s="7" t="str">
        <f t="shared" si="280"/>
        <v>103</v>
      </c>
      <c r="C1201" s="7" t="s">
        <v>663</v>
      </c>
      <c r="D1201" s="7" t="s">
        <v>664</v>
      </c>
      <c r="E1201" s="7" t="str">
        <f>"卞金竹"</f>
        <v>卞金竹</v>
      </c>
      <c r="F1201" s="7" t="str">
        <f t="shared" si="282"/>
        <v>女</v>
      </c>
      <c r="G1201" s="7" t="s">
        <v>1104</v>
      </c>
      <c r="H1201" s="8"/>
    </row>
    <row r="1202" ht="25" customHeight="1" spans="1:8">
      <c r="A1202" s="6">
        <v>1200</v>
      </c>
      <c r="B1202" s="7" t="str">
        <f t="shared" si="280"/>
        <v>103</v>
      </c>
      <c r="C1202" s="7" t="s">
        <v>663</v>
      </c>
      <c r="D1202" s="7" t="s">
        <v>664</v>
      </c>
      <c r="E1202" s="7" t="str">
        <f>"符小霞"</f>
        <v>符小霞</v>
      </c>
      <c r="F1202" s="7" t="str">
        <f t="shared" si="282"/>
        <v>女</v>
      </c>
      <c r="G1202" s="7" t="s">
        <v>699</v>
      </c>
      <c r="H1202" s="8"/>
    </row>
    <row r="1203" ht="25" customHeight="1" spans="1:8">
      <c r="A1203" s="6">
        <v>1201</v>
      </c>
      <c r="B1203" s="7" t="str">
        <f t="shared" si="280"/>
        <v>103</v>
      </c>
      <c r="C1203" s="7" t="s">
        <v>663</v>
      </c>
      <c r="D1203" s="7" t="s">
        <v>664</v>
      </c>
      <c r="E1203" s="7" t="str">
        <f>"麦宝"</f>
        <v>麦宝</v>
      </c>
      <c r="F1203" s="7" t="str">
        <f t="shared" ref="F1203:F1206" si="283">"男"</f>
        <v>男</v>
      </c>
      <c r="G1203" s="7" t="s">
        <v>1105</v>
      </c>
      <c r="H1203" s="8"/>
    </row>
    <row r="1204" ht="25" customHeight="1" spans="1:8">
      <c r="A1204" s="6">
        <v>1202</v>
      </c>
      <c r="B1204" s="7" t="str">
        <f t="shared" si="280"/>
        <v>103</v>
      </c>
      <c r="C1204" s="7" t="s">
        <v>663</v>
      </c>
      <c r="D1204" s="7" t="s">
        <v>664</v>
      </c>
      <c r="E1204" s="7" t="str">
        <f>"梁哲闻"</f>
        <v>梁哲闻</v>
      </c>
      <c r="F1204" s="7" t="str">
        <f t="shared" si="283"/>
        <v>男</v>
      </c>
      <c r="G1204" s="7" t="s">
        <v>1106</v>
      </c>
      <c r="H1204" s="8"/>
    </row>
    <row r="1205" ht="25" customHeight="1" spans="1:8">
      <c r="A1205" s="6">
        <v>1203</v>
      </c>
      <c r="B1205" s="7" t="str">
        <f t="shared" si="280"/>
        <v>103</v>
      </c>
      <c r="C1205" s="7" t="s">
        <v>663</v>
      </c>
      <c r="D1205" s="7" t="s">
        <v>664</v>
      </c>
      <c r="E1205" s="7" t="str">
        <f>"陈丽澄"</f>
        <v>陈丽澄</v>
      </c>
      <c r="F1205" s="7" t="str">
        <f t="shared" ref="F1205:F1210" si="284">"女"</f>
        <v>女</v>
      </c>
      <c r="G1205" s="7" t="s">
        <v>1107</v>
      </c>
      <c r="H1205" s="8"/>
    </row>
    <row r="1206" ht="25" customHeight="1" spans="1:8">
      <c r="A1206" s="6">
        <v>1204</v>
      </c>
      <c r="B1206" s="7" t="str">
        <f t="shared" si="280"/>
        <v>103</v>
      </c>
      <c r="C1206" s="7" t="s">
        <v>663</v>
      </c>
      <c r="D1206" s="7" t="s">
        <v>664</v>
      </c>
      <c r="E1206" s="7" t="str">
        <f>"文智"</f>
        <v>文智</v>
      </c>
      <c r="F1206" s="7" t="str">
        <f t="shared" si="283"/>
        <v>男</v>
      </c>
      <c r="G1206" s="7" t="s">
        <v>1108</v>
      </c>
      <c r="H1206" s="8"/>
    </row>
    <row r="1207" ht="25" customHeight="1" spans="1:8">
      <c r="A1207" s="6">
        <v>1205</v>
      </c>
      <c r="B1207" s="7" t="str">
        <f t="shared" si="280"/>
        <v>103</v>
      </c>
      <c r="C1207" s="7" t="s">
        <v>663</v>
      </c>
      <c r="D1207" s="7" t="s">
        <v>664</v>
      </c>
      <c r="E1207" s="7" t="str">
        <f>"王艺霏"</f>
        <v>王艺霏</v>
      </c>
      <c r="F1207" s="7" t="str">
        <f t="shared" si="284"/>
        <v>女</v>
      </c>
      <c r="G1207" s="7" t="s">
        <v>1109</v>
      </c>
      <c r="H1207" s="8"/>
    </row>
    <row r="1208" ht="25" customHeight="1" spans="1:8">
      <c r="A1208" s="6">
        <v>1206</v>
      </c>
      <c r="B1208" s="7" t="str">
        <f t="shared" si="280"/>
        <v>103</v>
      </c>
      <c r="C1208" s="7" t="s">
        <v>663</v>
      </c>
      <c r="D1208" s="7" t="s">
        <v>664</v>
      </c>
      <c r="E1208" s="7" t="str">
        <f>"陆蕾"</f>
        <v>陆蕾</v>
      </c>
      <c r="F1208" s="7" t="str">
        <f t="shared" si="284"/>
        <v>女</v>
      </c>
      <c r="G1208" s="7" t="s">
        <v>1110</v>
      </c>
      <c r="H1208" s="8"/>
    </row>
    <row r="1209" ht="25" customHeight="1" spans="1:8">
      <c r="A1209" s="6">
        <v>1207</v>
      </c>
      <c r="B1209" s="7" t="str">
        <f t="shared" si="280"/>
        <v>103</v>
      </c>
      <c r="C1209" s="7" t="s">
        <v>663</v>
      </c>
      <c r="D1209" s="7" t="s">
        <v>664</v>
      </c>
      <c r="E1209" s="7" t="str">
        <f>"李婉菊"</f>
        <v>李婉菊</v>
      </c>
      <c r="F1209" s="7" t="str">
        <f t="shared" si="284"/>
        <v>女</v>
      </c>
      <c r="G1209" s="7" t="s">
        <v>495</v>
      </c>
      <c r="H1209" s="8"/>
    </row>
    <row r="1210" ht="25" customHeight="1" spans="1:8">
      <c r="A1210" s="6">
        <v>1208</v>
      </c>
      <c r="B1210" s="7" t="str">
        <f t="shared" si="280"/>
        <v>103</v>
      </c>
      <c r="C1210" s="7" t="s">
        <v>663</v>
      </c>
      <c r="D1210" s="7" t="s">
        <v>664</v>
      </c>
      <c r="E1210" s="7" t="str">
        <f>"郑星星"</f>
        <v>郑星星</v>
      </c>
      <c r="F1210" s="7" t="str">
        <f t="shared" si="284"/>
        <v>女</v>
      </c>
      <c r="G1210" s="7" t="s">
        <v>588</v>
      </c>
      <c r="H1210" s="8"/>
    </row>
    <row r="1211" ht="25" customHeight="1" spans="1:8">
      <c r="A1211" s="6">
        <v>1209</v>
      </c>
      <c r="B1211" s="7" t="str">
        <f t="shared" si="280"/>
        <v>103</v>
      </c>
      <c r="C1211" s="7" t="s">
        <v>663</v>
      </c>
      <c r="D1211" s="7" t="s">
        <v>664</v>
      </c>
      <c r="E1211" s="7" t="str">
        <f>"孟令渊"</f>
        <v>孟令渊</v>
      </c>
      <c r="F1211" s="7" t="str">
        <f t="shared" ref="F1211:F1214" si="285">"男"</f>
        <v>男</v>
      </c>
      <c r="G1211" s="7" t="s">
        <v>1111</v>
      </c>
      <c r="H1211" s="8"/>
    </row>
    <row r="1212" ht="25" customHeight="1" spans="1:8">
      <c r="A1212" s="6">
        <v>1210</v>
      </c>
      <c r="B1212" s="7" t="str">
        <f t="shared" si="280"/>
        <v>103</v>
      </c>
      <c r="C1212" s="7" t="s">
        <v>663</v>
      </c>
      <c r="D1212" s="7" t="s">
        <v>664</v>
      </c>
      <c r="E1212" s="7" t="str">
        <f>"宁宇"</f>
        <v>宁宇</v>
      </c>
      <c r="F1212" s="7" t="str">
        <f t="shared" si="285"/>
        <v>男</v>
      </c>
      <c r="G1212" s="7" t="s">
        <v>1112</v>
      </c>
      <c r="H1212" s="8"/>
    </row>
    <row r="1213" ht="25" customHeight="1" spans="1:8">
      <c r="A1213" s="6">
        <v>1211</v>
      </c>
      <c r="B1213" s="7" t="str">
        <f t="shared" si="280"/>
        <v>103</v>
      </c>
      <c r="C1213" s="7" t="s">
        <v>663</v>
      </c>
      <c r="D1213" s="7" t="s">
        <v>664</v>
      </c>
      <c r="E1213" s="7" t="str">
        <f>"刘峙昊"</f>
        <v>刘峙昊</v>
      </c>
      <c r="F1213" s="7" t="str">
        <f t="shared" si="285"/>
        <v>男</v>
      </c>
      <c r="G1213" s="7" t="s">
        <v>1113</v>
      </c>
      <c r="H1213" s="8"/>
    </row>
    <row r="1214" ht="25" customHeight="1" spans="1:8">
      <c r="A1214" s="6">
        <v>1212</v>
      </c>
      <c r="B1214" s="7" t="str">
        <f t="shared" si="280"/>
        <v>103</v>
      </c>
      <c r="C1214" s="7" t="s">
        <v>663</v>
      </c>
      <c r="D1214" s="7" t="s">
        <v>664</v>
      </c>
      <c r="E1214" s="7" t="s">
        <v>1114</v>
      </c>
      <c r="F1214" s="7" t="str">
        <f t="shared" si="285"/>
        <v>男</v>
      </c>
      <c r="G1214" s="7" t="s">
        <v>251</v>
      </c>
      <c r="H1214" s="8"/>
    </row>
    <row r="1215" ht="25" customHeight="1" spans="1:8">
      <c r="A1215" s="6">
        <v>1213</v>
      </c>
      <c r="B1215" s="7" t="str">
        <f t="shared" si="280"/>
        <v>103</v>
      </c>
      <c r="C1215" s="7" t="s">
        <v>663</v>
      </c>
      <c r="D1215" s="7" t="s">
        <v>664</v>
      </c>
      <c r="E1215" s="7" t="str">
        <f>"冯雅慧"</f>
        <v>冯雅慧</v>
      </c>
      <c r="F1215" s="7" t="str">
        <f t="shared" ref="F1215:F1217" si="286">"女"</f>
        <v>女</v>
      </c>
      <c r="G1215" s="7" t="s">
        <v>1115</v>
      </c>
      <c r="H1215" s="8"/>
    </row>
    <row r="1216" ht="25" customHeight="1" spans="1:8">
      <c r="A1216" s="6">
        <v>1214</v>
      </c>
      <c r="B1216" s="7" t="str">
        <f t="shared" si="280"/>
        <v>103</v>
      </c>
      <c r="C1216" s="7" t="s">
        <v>663</v>
      </c>
      <c r="D1216" s="7" t="s">
        <v>664</v>
      </c>
      <c r="E1216" s="7" t="str">
        <f>"高思梅"</f>
        <v>高思梅</v>
      </c>
      <c r="F1216" s="7" t="str">
        <f t="shared" si="286"/>
        <v>女</v>
      </c>
      <c r="G1216" s="7" t="s">
        <v>350</v>
      </c>
      <c r="H1216" s="8"/>
    </row>
    <row r="1217" ht="25" customHeight="1" spans="1:8">
      <c r="A1217" s="6">
        <v>1215</v>
      </c>
      <c r="B1217" s="7" t="str">
        <f t="shared" si="280"/>
        <v>103</v>
      </c>
      <c r="C1217" s="7" t="s">
        <v>663</v>
      </c>
      <c r="D1217" s="7" t="s">
        <v>664</v>
      </c>
      <c r="E1217" s="7" t="str">
        <f>"林盈"</f>
        <v>林盈</v>
      </c>
      <c r="F1217" s="7" t="str">
        <f t="shared" si="286"/>
        <v>女</v>
      </c>
      <c r="G1217" s="7" t="s">
        <v>1116</v>
      </c>
      <c r="H1217" s="8"/>
    </row>
    <row r="1218" ht="25" customHeight="1" spans="1:8">
      <c r="A1218" s="6">
        <v>1216</v>
      </c>
      <c r="B1218" s="7" t="str">
        <f t="shared" si="280"/>
        <v>103</v>
      </c>
      <c r="C1218" s="7" t="s">
        <v>663</v>
      </c>
      <c r="D1218" s="7" t="s">
        <v>664</v>
      </c>
      <c r="E1218" s="7" t="str">
        <f>"黄清涛"</f>
        <v>黄清涛</v>
      </c>
      <c r="F1218" s="7" t="str">
        <f t="shared" ref="F1218:F1222" si="287">"男"</f>
        <v>男</v>
      </c>
      <c r="G1218" s="7" t="s">
        <v>1117</v>
      </c>
      <c r="H1218" s="8"/>
    </row>
    <row r="1219" ht="25" customHeight="1" spans="1:8">
      <c r="A1219" s="6">
        <v>1217</v>
      </c>
      <c r="B1219" s="7" t="str">
        <f t="shared" si="280"/>
        <v>103</v>
      </c>
      <c r="C1219" s="7" t="s">
        <v>663</v>
      </c>
      <c r="D1219" s="7" t="s">
        <v>664</v>
      </c>
      <c r="E1219" s="7" t="str">
        <f>"梁秋露"</f>
        <v>梁秋露</v>
      </c>
      <c r="F1219" s="7" t="str">
        <f t="shared" ref="F1219:F1224" si="288">"女"</f>
        <v>女</v>
      </c>
      <c r="G1219" s="7" t="s">
        <v>687</v>
      </c>
      <c r="H1219" s="8"/>
    </row>
    <row r="1220" ht="25" customHeight="1" spans="1:8">
      <c r="A1220" s="6">
        <v>1218</v>
      </c>
      <c r="B1220" s="7" t="str">
        <f t="shared" si="280"/>
        <v>103</v>
      </c>
      <c r="C1220" s="7" t="s">
        <v>663</v>
      </c>
      <c r="D1220" s="7" t="s">
        <v>664</v>
      </c>
      <c r="E1220" s="7" t="str">
        <f>"颜祝俊"</f>
        <v>颜祝俊</v>
      </c>
      <c r="F1220" s="7" t="str">
        <f t="shared" si="287"/>
        <v>男</v>
      </c>
      <c r="G1220" s="7" t="s">
        <v>1118</v>
      </c>
      <c r="H1220" s="8"/>
    </row>
    <row r="1221" ht="25" customHeight="1" spans="1:8">
      <c r="A1221" s="6">
        <v>1219</v>
      </c>
      <c r="B1221" s="7" t="str">
        <f t="shared" si="280"/>
        <v>103</v>
      </c>
      <c r="C1221" s="7" t="s">
        <v>663</v>
      </c>
      <c r="D1221" s="7" t="s">
        <v>664</v>
      </c>
      <c r="E1221" s="7" t="str">
        <f>"何宗莉"</f>
        <v>何宗莉</v>
      </c>
      <c r="F1221" s="7" t="str">
        <f t="shared" si="288"/>
        <v>女</v>
      </c>
      <c r="G1221" s="7" t="s">
        <v>552</v>
      </c>
      <c r="H1221" s="8"/>
    </row>
    <row r="1222" ht="25" customHeight="1" spans="1:8">
      <c r="A1222" s="6">
        <v>1220</v>
      </c>
      <c r="B1222" s="7" t="str">
        <f t="shared" si="280"/>
        <v>103</v>
      </c>
      <c r="C1222" s="7" t="s">
        <v>663</v>
      </c>
      <c r="D1222" s="7" t="s">
        <v>664</v>
      </c>
      <c r="E1222" s="7" t="str">
        <f>"朱新河"</f>
        <v>朱新河</v>
      </c>
      <c r="F1222" s="7" t="str">
        <f t="shared" si="287"/>
        <v>男</v>
      </c>
      <c r="G1222" s="7" t="s">
        <v>1119</v>
      </c>
      <c r="H1222" s="8"/>
    </row>
    <row r="1223" ht="25" customHeight="1" spans="1:8">
      <c r="A1223" s="6">
        <v>1221</v>
      </c>
      <c r="B1223" s="7" t="str">
        <f t="shared" si="280"/>
        <v>103</v>
      </c>
      <c r="C1223" s="7" t="s">
        <v>663</v>
      </c>
      <c r="D1223" s="7" t="s">
        <v>664</v>
      </c>
      <c r="E1223" s="7" t="str">
        <f>"王晶"</f>
        <v>王晶</v>
      </c>
      <c r="F1223" s="7" t="str">
        <f t="shared" si="288"/>
        <v>女</v>
      </c>
      <c r="G1223" s="7" t="s">
        <v>1120</v>
      </c>
      <c r="H1223" s="8"/>
    </row>
    <row r="1224" ht="25" customHeight="1" spans="1:8">
      <c r="A1224" s="6">
        <v>1222</v>
      </c>
      <c r="B1224" s="7" t="str">
        <f t="shared" si="280"/>
        <v>103</v>
      </c>
      <c r="C1224" s="7" t="s">
        <v>663</v>
      </c>
      <c r="D1224" s="7" t="s">
        <v>664</v>
      </c>
      <c r="E1224" s="7" t="str">
        <f>"赵壮婷"</f>
        <v>赵壮婷</v>
      </c>
      <c r="F1224" s="7" t="str">
        <f t="shared" si="288"/>
        <v>女</v>
      </c>
      <c r="G1224" s="7" t="s">
        <v>1121</v>
      </c>
      <c r="H1224" s="8"/>
    </row>
    <row r="1225" ht="25" customHeight="1" spans="1:8">
      <c r="A1225" s="6">
        <v>1223</v>
      </c>
      <c r="B1225" s="7" t="str">
        <f t="shared" si="280"/>
        <v>103</v>
      </c>
      <c r="C1225" s="7" t="s">
        <v>663</v>
      </c>
      <c r="D1225" s="7" t="s">
        <v>664</v>
      </c>
      <c r="E1225" s="7" t="str">
        <f>"王槐政"</f>
        <v>王槐政</v>
      </c>
      <c r="F1225" s="7" t="str">
        <f t="shared" ref="F1225:F1230" si="289">"男"</f>
        <v>男</v>
      </c>
      <c r="G1225" s="7" t="s">
        <v>1122</v>
      </c>
      <c r="H1225" s="8"/>
    </row>
    <row r="1226" ht="25" customHeight="1" spans="1:8">
      <c r="A1226" s="6">
        <v>1224</v>
      </c>
      <c r="B1226" s="7" t="str">
        <f t="shared" si="280"/>
        <v>103</v>
      </c>
      <c r="C1226" s="7" t="s">
        <v>663</v>
      </c>
      <c r="D1226" s="7" t="s">
        <v>664</v>
      </c>
      <c r="E1226" s="7" t="str">
        <f>"王昱涵"</f>
        <v>王昱涵</v>
      </c>
      <c r="F1226" s="7" t="str">
        <f t="shared" si="289"/>
        <v>男</v>
      </c>
      <c r="G1226" s="7" t="s">
        <v>1123</v>
      </c>
      <c r="H1226" s="8"/>
    </row>
    <row r="1227" ht="25" customHeight="1" spans="1:8">
      <c r="A1227" s="6">
        <v>1225</v>
      </c>
      <c r="B1227" s="7" t="str">
        <f t="shared" si="280"/>
        <v>103</v>
      </c>
      <c r="C1227" s="7" t="s">
        <v>663</v>
      </c>
      <c r="D1227" s="7" t="s">
        <v>664</v>
      </c>
      <c r="E1227" s="7" t="str">
        <f>"任超慧"</f>
        <v>任超慧</v>
      </c>
      <c r="F1227" s="7" t="str">
        <f t="shared" ref="F1227:F1229" si="290">"女"</f>
        <v>女</v>
      </c>
      <c r="G1227" s="7" t="s">
        <v>1124</v>
      </c>
      <c r="H1227" s="8"/>
    </row>
    <row r="1228" ht="25" customHeight="1" spans="1:8">
      <c r="A1228" s="6">
        <v>1226</v>
      </c>
      <c r="B1228" s="7" t="str">
        <f t="shared" si="280"/>
        <v>103</v>
      </c>
      <c r="C1228" s="7" t="s">
        <v>663</v>
      </c>
      <c r="D1228" s="7" t="s">
        <v>664</v>
      </c>
      <c r="E1228" s="7" t="str">
        <f>"杨欣"</f>
        <v>杨欣</v>
      </c>
      <c r="F1228" s="7" t="str">
        <f t="shared" si="290"/>
        <v>女</v>
      </c>
      <c r="G1228" s="7" t="s">
        <v>996</v>
      </c>
      <c r="H1228" s="8"/>
    </row>
    <row r="1229" ht="25" customHeight="1" spans="1:8">
      <c r="A1229" s="6">
        <v>1227</v>
      </c>
      <c r="B1229" s="7" t="str">
        <f t="shared" si="280"/>
        <v>103</v>
      </c>
      <c r="C1229" s="7" t="s">
        <v>663</v>
      </c>
      <c r="D1229" s="7" t="s">
        <v>664</v>
      </c>
      <c r="E1229" s="7" t="str">
        <f>"黄叶过"</f>
        <v>黄叶过</v>
      </c>
      <c r="F1229" s="7" t="str">
        <f t="shared" si="290"/>
        <v>女</v>
      </c>
      <c r="G1229" s="7" t="s">
        <v>1125</v>
      </c>
      <c r="H1229" s="8"/>
    </row>
    <row r="1230" ht="25" customHeight="1" spans="1:8">
      <c r="A1230" s="6">
        <v>1228</v>
      </c>
      <c r="B1230" s="7" t="str">
        <f t="shared" si="280"/>
        <v>103</v>
      </c>
      <c r="C1230" s="7" t="s">
        <v>663</v>
      </c>
      <c r="D1230" s="7" t="s">
        <v>664</v>
      </c>
      <c r="E1230" s="7" t="str">
        <f>"罗俊彬"</f>
        <v>罗俊彬</v>
      </c>
      <c r="F1230" s="7" t="str">
        <f t="shared" si="289"/>
        <v>男</v>
      </c>
      <c r="G1230" s="7" t="s">
        <v>1126</v>
      </c>
      <c r="H1230" s="8"/>
    </row>
    <row r="1231" ht="25" customHeight="1" spans="1:8">
      <c r="A1231" s="6">
        <v>1229</v>
      </c>
      <c r="B1231" s="7" t="str">
        <f t="shared" si="280"/>
        <v>103</v>
      </c>
      <c r="C1231" s="7" t="s">
        <v>663</v>
      </c>
      <c r="D1231" s="7" t="s">
        <v>664</v>
      </c>
      <c r="E1231" s="7" t="str">
        <f>"梁玥"</f>
        <v>梁玥</v>
      </c>
      <c r="F1231" s="7" t="str">
        <f t="shared" ref="F1231:F1236" si="291">"女"</f>
        <v>女</v>
      </c>
      <c r="G1231" s="7" t="s">
        <v>1127</v>
      </c>
      <c r="H1231" s="8"/>
    </row>
    <row r="1232" ht="25" customHeight="1" spans="1:8">
      <c r="A1232" s="6">
        <v>1230</v>
      </c>
      <c r="B1232" s="7" t="str">
        <f t="shared" si="280"/>
        <v>103</v>
      </c>
      <c r="C1232" s="7" t="s">
        <v>663</v>
      </c>
      <c r="D1232" s="7" t="s">
        <v>664</v>
      </c>
      <c r="E1232" s="7" t="str">
        <f>"姜妍妍"</f>
        <v>姜妍妍</v>
      </c>
      <c r="F1232" s="7" t="str">
        <f t="shared" si="291"/>
        <v>女</v>
      </c>
      <c r="G1232" s="7" t="s">
        <v>195</v>
      </c>
      <c r="H1232" s="8"/>
    </row>
    <row r="1233" ht="25" customHeight="1" spans="1:8">
      <c r="A1233" s="6">
        <v>1231</v>
      </c>
      <c r="B1233" s="7" t="str">
        <f t="shared" si="280"/>
        <v>103</v>
      </c>
      <c r="C1233" s="7" t="s">
        <v>663</v>
      </c>
      <c r="D1233" s="7" t="s">
        <v>664</v>
      </c>
      <c r="E1233" s="7" t="str">
        <f>"林云"</f>
        <v>林云</v>
      </c>
      <c r="F1233" s="7" t="str">
        <f t="shared" si="291"/>
        <v>女</v>
      </c>
      <c r="G1233" s="7" t="s">
        <v>246</v>
      </c>
      <c r="H1233" s="8"/>
    </row>
    <row r="1234" ht="25" customHeight="1" spans="1:8">
      <c r="A1234" s="6">
        <v>1232</v>
      </c>
      <c r="B1234" s="7" t="str">
        <f t="shared" si="280"/>
        <v>103</v>
      </c>
      <c r="C1234" s="7" t="s">
        <v>663</v>
      </c>
      <c r="D1234" s="7" t="s">
        <v>664</v>
      </c>
      <c r="E1234" s="7" t="str">
        <f>"曾萍嘉"</f>
        <v>曾萍嘉</v>
      </c>
      <c r="F1234" s="7" t="str">
        <f t="shared" si="291"/>
        <v>女</v>
      </c>
      <c r="G1234" s="7" t="s">
        <v>1128</v>
      </c>
      <c r="H1234" s="8"/>
    </row>
    <row r="1235" ht="25" customHeight="1" spans="1:8">
      <c r="A1235" s="6">
        <v>1233</v>
      </c>
      <c r="B1235" s="7" t="str">
        <f t="shared" si="280"/>
        <v>103</v>
      </c>
      <c r="C1235" s="7" t="s">
        <v>663</v>
      </c>
      <c r="D1235" s="7" t="s">
        <v>664</v>
      </c>
      <c r="E1235" s="7" t="str">
        <f>"石丽霞"</f>
        <v>石丽霞</v>
      </c>
      <c r="F1235" s="7" t="str">
        <f t="shared" si="291"/>
        <v>女</v>
      </c>
      <c r="G1235" s="7" t="s">
        <v>1129</v>
      </c>
      <c r="H1235" s="8"/>
    </row>
    <row r="1236" ht="25" customHeight="1" spans="1:8">
      <c r="A1236" s="6">
        <v>1234</v>
      </c>
      <c r="B1236" s="7" t="str">
        <f t="shared" si="280"/>
        <v>103</v>
      </c>
      <c r="C1236" s="7" t="s">
        <v>663</v>
      </c>
      <c r="D1236" s="7" t="s">
        <v>664</v>
      </c>
      <c r="E1236" s="7" t="str">
        <f>"符好花"</f>
        <v>符好花</v>
      </c>
      <c r="F1236" s="7" t="str">
        <f t="shared" si="291"/>
        <v>女</v>
      </c>
      <c r="G1236" s="7" t="s">
        <v>1130</v>
      </c>
      <c r="H1236" s="8"/>
    </row>
    <row r="1237" ht="25" customHeight="1" spans="1:8">
      <c r="A1237" s="6">
        <v>1235</v>
      </c>
      <c r="B1237" s="7" t="str">
        <f t="shared" si="280"/>
        <v>103</v>
      </c>
      <c r="C1237" s="7" t="s">
        <v>663</v>
      </c>
      <c r="D1237" s="7" t="s">
        <v>664</v>
      </c>
      <c r="E1237" s="7" t="str">
        <f>"张俊恩"</f>
        <v>张俊恩</v>
      </c>
      <c r="F1237" s="7" t="str">
        <f t="shared" ref="F1237:F1242" si="292">"男"</f>
        <v>男</v>
      </c>
      <c r="G1237" s="7" t="s">
        <v>851</v>
      </c>
      <c r="H1237" s="8"/>
    </row>
    <row r="1238" ht="25" customHeight="1" spans="1:8">
      <c r="A1238" s="6">
        <v>1236</v>
      </c>
      <c r="B1238" s="7" t="str">
        <f t="shared" si="280"/>
        <v>103</v>
      </c>
      <c r="C1238" s="7" t="s">
        <v>663</v>
      </c>
      <c r="D1238" s="7" t="s">
        <v>664</v>
      </c>
      <c r="E1238" s="7" t="str">
        <f>"陈昕"</f>
        <v>陈昕</v>
      </c>
      <c r="F1238" s="7" t="str">
        <f t="shared" ref="F1238:F1241" si="293">"女"</f>
        <v>女</v>
      </c>
      <c r="G1238" s="7" t="s">
        <v>326</v>
      </c>
      <c r="H1238" s="8"/>
    </row>
    <row r="1239" ht="25" customHeight="1" spans="1:8">
      <c r="A1239" s="6">
        <v>1237</v>
      </c>
      <c r="B1239" s="7" t="str">
        <f t="shared" si="280"/>
        <v>103</v>
      </c>
      <c r="C1239" s="7" t="s">
        <v>663</v>
      </c>
      <c r="D1239" s="7" t="s">
        <v>664</v>
      </c>
      <c r="E1239" s="7" t="str">
        <f>"麦宜宙"</f>
        <v>麦宜宙</v>
      </c>
      <c r="F1239" s="7" t="str">
        <f t="shared" si="292"/>
        <v>男</v>
      </c>
      <c r="G1239" s="7" t="s">
        <v>1131</v>
      </c>
      <c r="H1239" s="8"/>
    </row>
    <row r="1240" ht="25" customHeight="1" spans="1:8">
      <c r="A1240" s="6">
        <v>1238</v>
      </c>
      <c r="B1240" s="7" t="str">
        <f t="shared" si="280"/>
        <v>103</v>
      </c>
      <c r="C1240" s="7" t="s">
        <v>663</v>
      </c>
      <c r="D1240" s="7" t="s">
        <v>664</v>
      </c>
      <c r="E1240" s="7" t="str">
        <f>"吴华彩"</f>
        <v>吴华彩</v>
      </c>
      <c r="F1240" s="7" t="str">
        <f t="shared" si="293"/>
        <v>女</v>
      </c>
      <c r="G1240" s="7" t="s">
        <v>1132</v>
      </c>
      <c r="H1240" s="8"/>
    </row>
    <row r="1241" ht="25" customHeight="1" spans="1:8">
      <c r="A1241" s="6">
        <v>1239</v>
      </c>
      <c r="B1241" s="7" t="str">
        <f t="shared" si="280"/>
        <v>103</v>
      </c>
      <c r="C1241" s="7" t="s">
        <v>663</v>
      </c>
      <c r="D1241" s="7" t="s">
        <v>664</v>
      </c>
      <c r="E1241" s="7" t="str">
        <f>"陈苗"</f>
        <v>陈苗</v>
      </c>
      <c r="F1241" s="7" t="str">
        <f t="shared" si="293"/>
        <v>女</v>
      </c>
      <c r="G1241" s="7" t="s">
        <v>621</v>
      </c>
      <c r="H1241" s="8"/>
    </row>
    <row r="1242" ht="25" customHeight="1" spans="1:8">
      <c r="A1242" s="6">
        <v>1240</v>
      </c>
      <c r="B1242" s="7" t="str">
        <f t="shared" si="280"/>
        <v>103</v>
      </c>
      <c r="C1242" s="7" t="s">
        <v>663</v>
      </c>
      <c r="D1242" s="7" t="s">
        <v>664</v>
      </c>
      <c r="E1242" s="7" t="str">
        <f>"吴光兵"</f>
        <v>吴光兵</v>
      </c>
      <c r="F1242" s="7" t="str">
        <f t="shared" si="292"/>
        <v>男</v>
      </c>
      <c r="G1242" s="7" t="s">
        <v>1133</v>
      </c>
      <c r="H1242" s="8"/>
    </row>
    <row r="1243" ht="25" customHeight="1" spans="1:8">
      <c r="A1243" s="6">
        <v>1241</v>
      </c>
      <c r="B1243" s="7" t="str">
        <f t="shared" si="280"/>
        <v>103</v>
      </c>
      <c r="C1243" s="7" t="s">
        <v>663</v>
      </c>
      <c r="D1243" s="7" t="s">
        <v>664</v>
      </c>
      <c r="E1243" s="7" t="str">
        <f>"黄金影"</f>
        <v>黄金影</v>
      </c>
      <c r="F1243" s="7" t="str">
        <f>"女"</f>
        <v>女</v>
      </c>
      <c r="G1243" s="7" t="s">
        <v>660</v>
      </c>
      <c r="H1243" s="8"/>
    </row>
    <row r="1244" ht="25" customHeight="1" spans="1:8">
      <c r="A1244" s="6">
        <v>1242</v>
      </c>
      <c r="B1244" s="7" t="str">
        <f t="shared" si="280"/>
        <v>103</v>
      </c>
      <c r="C1244" s="7" t="s">
        <v>663</v>
      </c>
      <c r="D1244" s="7" t="s">
        <v>664</v>
      </c>
      <c r="E1244" s="7" t="str">
        <f>"林立宝"</f>
        <v>林立宝</v>
      </c>
      <c r="F1244" s="7" t="str">
        <f t="shared" ref="F1244:F1246" si="294">"男"</f>
        <v>男</v>
      </c>
      <c r="G1244" s="7" t="s">
        <v>1134</v>
      </c>
      <c r="H1244" s="8"/>
    </row>
    <row r="1245" ht="25" customHeight="1" spans="1:8">
      <c r="A1245" s="6">
        <v>1243</v>
      </c>
      <c r="B1245" s="7" t="str">
        <f t="shared" si="280"/>
        <v>103</v>
      </c>
      <c r="C1245" s="7" t="s">
        <v>663</v>
      </c>
      <c r="D1245" s="7" t="s">
        <v>664</v>
      </c>
      <c r="E1245" s="7" t="str">
        <f>"欧志鹏"</f>
        <v>欧志鹏</v>
      </c>
      <c r="F1245" s="7" t="str">
        <f t="shared" si="294"/>
        <v>男</v>
      </c>
      <c r="G1245" s="7" t="s">
        <v>1135</v>
      </c>
      <c r="H1245" s="8"/>
    </row>
    <row r="1246" ht="25" customHeight="1" spans="1:8">
      <c r="A1246" s="6">
        <v>1244</v>
      </c>
      <c r="B1246" s="7" t="str">
        <f t="shared" si="280"/>
        <v>103</v>
      </c>
      <c r="C1246" s="7" t="s">
        <v>663</v>
      </c>
      <c r="D1246" s="7" t="s">
        <v>664</v>
      </c>
      <c r="E1246" s="7" t="str">
        <f>"李子康"</f>
        <v>李子康</v>
      </c>
      <c r="F1246" s="7" t="str">
        <f t="shared" si="294"/>
        <v>男</v>
      </c>
      <c r="G1246" s="7" t="s">
        <v>417</v>
      </c>
      <c r="H1246" s="8"/>
    </row>
    <row r="1247" ht="25" customHeight="1" spans="1:8">
      <c r="A1247" s="6">
        <v>1245</v>
      </c>
      <c r="B1247" s="7" t="str">
        <f t="shared" si="280"/>
        <v>103</v>
      </c>
      <c r="C1247" s="7" t="s">
        <v>663</v>
      </c>
      <c r="D1247" s="7" t="s">
        <v>664</v>
      </c>
      <c r="E1247" s="7" t="str">
        <f>"王珍珍"</f>
        <v>王珍珍</v>
      </c>
      <c r="F1247" s="7" t="str">
        <f t="shared" ref="F1247:F1251" si="295">"女"</f>
        <v>女</v>
      </c>
      <c r="G1247" s="7" t="s">
        <v>1136</v>
      </c>
      <c r="H1247" s="8"/>
    </row>
    <row r="1248" ht="25" customHeight="1" spans="1:8">
      <c r="A1248" s="6">
        <v>1246</v>
      </c>
      <c r="B1248" s="7" t="str">
        <f t="shared" si="280"/>
        <v>103</v>
      </c>
      <c r="C1248" s="7" t="s">
        <v>663</v>
      </c>
      <c r="D1248" s="7" t="s">
        <v>664</v>
      </c>
      <c r="E1248" s="7" t="str">
        <f>"符书畅"</f>
        <v>符书畅</v>
      </c>
      <c r="F1248" s="7" t="str">
        <f t="shared" ref="F1248:F1252" si="296">"男"</f>
        <v>男</v>
      </c>
      <c r="G1248" s="7" t="s">
        <v>193</v>
      </c>
      <c r="H1248" s="8"/>
    </row>
    <row r="1249" ht="25" customHeight="1" spans="1:8">
      <c r="A1249" s="6">
        <v>1247</v>
      </c>
      <c r="B1249" s="7" t="str">
        <f t="shared" si="280"/>
        <v>103</v>
      </c>
      <c r="C1249" s="7" t="s">
        <v>663</v>
      </c>
      <c r="D1249" s="7" t="s">
        <v>664</v>
      </c>
      <c r="E1249" s="7" t="str">
        <f>"吴光培"</f>
        <v>吴光培</v>
      </c>
      <c r="F1249" s="7" t="str">
        <f t="shared" si="296"/>
        <v>男</v>
      </c>
      <c r="G1249" s="7" t="s">
        <v>1137</v>
      </c>
      <c r="H1249" s="8"/>
    </row>
    <row r="1250" ht="25" customHeight="1" spans="1:8">
      <c r="A1250" s="6">
        <v>1248</v>
      </c>
      <c r="B1250" s="7" t="str">
        <f t="shared" si="280"/>
        <v>103</v>
      </c>
      <c r="C1250" s="7" t="s">
        <v>663</v>
      </c>
      <c r="D1250" s="7" t="s">
        <v>664</v>
      </c>
      <c r="E1250" s="7" t="str">
        <f>"丁炫"</f>
        <v>丁炫</v>
      </c>
      <c r="F1250" s="7" t="str">
        <f t="shared" si="295"/>
        <v>女</v>
      </c>
      <c r="G1250" s="7" t="s">
        <v>1138</v>
      </c>
      <c r="H1250" s="8"/>
    </row>
    <row r="1251" ht="25" customHeight="1" spans="1:8">
      <c r="A1251" s="6">
        <v>1249</v>
      </c>
      <c r="B1251" s="7" t="str">
        <f t="shared" si="280"/>
        <v>103</v>
      </c>
      <c r="C1251" s="7" t="s">
        <v>663</v>
      </c>
      <c r="D1251" s="7" t="s">
        <v>664</v>
      </c>
      <c r="E1251" s="7" t="str">
        <f>"羊昌教"</f>
        <v>羊昌教</v>
      </c>
      <c r="F1251" s="7" t="str">
        <f t="shared" si="295"/>
        <v>女</v>
      </c>
      <c r="G1251" s="7" t="s">
        <v>1139</v>
      </c>
      <c r="H1251" s="8"/>
    </row>
    <row r="1252" ht="25" customHeight="1" spans="1:8">
      <c r="A1252" s="6">
        <v>1250</v>
      </c>
      <c r="B1252" s="7" t="str">
        <f t="shared" si="280"/>
        <v>103</v>
      </c>
      <c r="C1252" s="7" t="s">
        <v>663</v>
      </c>
      <c r="D1252" s="7" t="s">
        <v>664</v>
      </c>
      <c r="E1252" s="7" t="str">
        <f>"赵天舸"</f>
        <v>赵天舸</v>
      </c>
      <c r="F1252" s="7" t="str">
        <f t="shared" si="296"/>
        <v>男</v>
      </c>
      <c r="G1252" s="7" t="s">
        <v>1140</v>
      </c>
      <c r="H1252" s="8"/>
    </row>
    <row r="1253" ht="25" customHeight="1" spans="1:8">
      <c r="A1253" s="6">
        <v>1251</v>
      </c>
      <c r="B1253" s="7" t="str">
        <f t="shared" si="280"/>
        <v>103</v>
      </c>
      <c r="C1253" s="7" t="s">
        <v>663</v>
      </c>
      <c r="D1253" s="7" t="s">
        <v>664</v>
      </c>
      <c r="E1253" s="7" t="str">
        <f>"李萌"</f>
        <v>李萌</v>
      </c>
      <c r="F1253" s="7" t="str">
        <f t="shared" ref="F1253:F1256" si="297">"女"</f>
        <v>女</v>
      </c>
      <c r="G1253" s="7" t="s">
        <v>1141</v>
      </c>
      <c r="H1253" s="8"/>
    </row>
    <row r="1254" ht="25" customHeight="1" spans="1:8">
      <c r="A1254" s="6">
        <v>1252</v>
      </c>
      <c r="B1254" s="7" t="str">
        <f t="shared" si="280"/>
        <v>103</v>
      </c>
      <c r="C1254" s="7" t="s">
        <v>663</v>
      </c>
      <c r="D1254" s="7" t="s">
        <v>664</v>
      </c>
      <c r="E1254" s="7" t="str">
        <f>"郑天栋"</f>
        <v>郑天栋</v>
      </c>
      <c r="F1254" s="7" t="str">
        <f t="shared" ref="F1254:F1259" si="298">"男"</f>
        <v>男</v>
      </c>
      <c r="G1254" s="7" t="s">
        <v>15</v>
      </c>
      <c r="H1254" s="8"/>
    </row>
    <row r="1255" ht="25" customHeight="1" spans="1:8">
      <c r="A1255" s="6">
        <v>1253</v>
      </c>
      <c r="B1255" s="7" t="str">
        <f t="shared" si="280"/>
        <v>103</v>
      </c>
      <c r="C1255" s="7" t="s">
        <v>663</v>
      </c>
      <c r="D1255" s="7" t="s">
        <v>664</v>
      </c>
      <c r="E1255" s="7" t="str">
        <f>"冯妃"</f>
        <v>冯妃</v>
      </c>
      <c r="F1255" s="7" t="str">
        <f t="shared" si="297"/>
        <v>女</v>
      </c>
      <c r="G1255" s="7" t="s">
        <v>147</v>
      </c>
      <c r="H1255" s="8"/>
    </row>
    <row r="1256" ht="25" customHeight="1" spans="1:8">
      <c r="A1256" s="6">
        <v>1254</v>
      </c>
      <c r="B1256" s="7" t="str">
        <f t="shared" ref="B1256:B1319" si="299">"103"</f>
        <v>103</v>
      </c>
      <c r="C1256" s="7" t="s">
        <v>663</v>
      </c>
      <c r="D1256" s="7" t="s">
        <v>664</v>
      </c>
      <c r="E1256" s="7" t="str">
        <f>"阜欢欢"</f>
        <v>阜欢欢</v>
      </c>
      <c r="F1256" s="7" t="str">
        <f t="shared" si="297"/>
        <v>女</v>
      </c>
      <c r="G1256" s="7" t="s">
        <v>1142</v>
      </c>
      <c r="H1256" s="8"/>
    </row>
    <row r="1257" ht="25" customHeight="1" spans="1:8">
      <c r="A1257" s="6">
        <v>1255</v>
      </c>
      <c r="B1257" s="7" t="str">
        <f t="shared" si="299"/>
        <v>103</v>
      </c>
      <c r="C1257" s="7" t="s">
        <v>663</v>
      </c>
      <c r="D1257" s="7" t="s">
        <v>664</v>
      </c>
      <c r="E1257" s="7" t="str">
        <f>"罗政邦"</f>
        <v>罗政邦</v>
      </c>
      <c r="F1257" s="7" t="str">
        <f t="shared" si="298"/>
        <v>男</v>
      </c>
      <c r="G1257" s="7" t="s">
        <v>1143</v>
      </c>
      <c r="H1257" s="8"/>
    </row>
    <row r="1258" ht="25" customHeight="1" spans="1:8">
      <c r="A1258" s="6">
        <v>1256</v>
      </c>
      <c r="B1258" s="7" t="str">
        <f t="shared" si="299"/>
        <v>103</v>
      </c>
      <c r="C1258" s="7" t="s">
        <v>663</v>
      </c>
      <c r="D1258" s="7" t="s">
        <v>664</v>
      </c>
      <c r="E1258" s="7" t="str">
        <f>"王和祥"</f>
        <v>王和祥</v>
      </c>
      <c r="F1258" s="7" t="str">
        <f t="shared" si="298"/>
        <v>男</v>
      </c>
      <c r="G1258" s="7" t="s">
        <v>1144</v>
      </c>
      <c r="H1258" s="8"/>
    </row>
    <row r="1259" ht="25" customHeight="1" spans="1:8">
      <c r="A1259" s="6">
        <v>1257</v>
      </c>
      <c r="B1259" s="7" t="str">
        <f t="shared" si="299"/>
        <v>103</v>
      </c>
      <c r="C1259" s="7" t="s">
        <v>663</v>
      </c>
      <c r="D1259" s="7" t="s">
        <v>664</v>
      </c>
      <c r="E1259" s="7" t="str">
        <f>"冯启宸"</f>
        <v>冯启宸</v>
      </c>
      <c r="F1259" s="7" t="str">
        <f t="shared" si="298"/>
        <v>男</v>
      </c>
      <c r="G1259" s="7" t="s">
        <v>1145</v>
      </c>
      <c r="H1259" s="8"/>
    </row>
    <row r="1260" ht="25" customHeight="1" spans="1:8">
      <c r="A1260" s="6">
        <v>1258</v>
      </c>
      <c r="B1260" s="7" t="str">
        <f t="shared" si="299"/>
        <v>103</v>
      </c>
      <c r="C1260" s="7" t="s">
        <v>663</v>
      </c>
      <c r="D1260" s="7" t="s">
        <v>664</v>
      </c>
      <c r="E1260" s="7" t="str">
        <f>"李欣"</f>
        <v>李欣</v>
      </c>
      <c r="F1260" s="7" t="str">
        <f>"女"</f>
        <v>女</v>
      </c>
      <c r="G1260" s="7" t="s">
        <v>1146</v>
      </c>
      <c r="H1260" s="8"/>
    </row>
    <row r="1261" ht="25" customHeight="1" spans="1:8">
      <c r="A1261" s="6">
        <v>1259</v>
      </c>
      <c r="B1261" s="7" t="str">
        <f t="shared" si="299"/>
        <v>103</v>
      </c>
      <c r="C1261" s="7" t="s">
        <v>663</v>
      </c>
      <c r="D1261" s="7" t="s">
        <v>664</v>
      </c>
      <c r="E1261" s="7" t="str">
        <f>"陈慧"</f>
        <v>陈慧</v>
      </c>
      <c r="F1261" s="7" t="str">
        <f>"女"</f>
        <v>女</v>
      </c>
      <c r="G1261" s="7" t="s">
        <v>1147</v>
      </c>
      <c r="H1261" s="8"/>
    </row>
    <row r="1262" ht="25" customHeight="1" spans="1:8">
      <c r="A1262" s="6">
        <v>1260</v>
      </c>
      <c r="B1262" s="7" t="str">
        <f t="shared" si="299"/>
        <v>103</v>
      </c>
      <c r="C1262" s="7" t="s">
        <v>663</v>
      </c>
      <c r="D1262" s="7" t="s">
        <v>664</v>
      </c>
      <c r="E1262" s="7" t="str">
        <f>"李小山"</f>
        <v>李小山</v>
      </c>
      <c r="F1262" s="7" t="str">
        <f t="shared" ref="F1262:F1265" si="300">"男"</f>
        <v>男</v>
      </c>
      <c r="G1262" s="7" t="s">
        <v>1148</v>
      </c>
      <c r="H1262" s="8"/>
    </row>
    <row r="1263" ht="25" customHeight="1" spans="1:8">
      <c r="A1263" s="6">
        <v>1261</v>
      </c>
      <c r="B1263" s="7" t="str">
        <f t="shared" si="299"/>
        <v>103</v>
      </c>
      <c r="C1263" s="7" t="s">
        <v>663</v>
      </c>
      <c r="D1263" s="7" t="s">
        <v>664</v>
      </c>
      <c r="E1263" s="7" t="str">
        <f>"林煦和"</f>
        <v>林煦和</v>
      </c>
      <c r="F1263" s="7" t="str">
        <f t="shared" si="300"/>
        <v>男</v>
      </c>
      <c r="G1263" s="7" t="s">
        <v>1088</v>
      </c>
      <c r="H1263" s="8"/>
    </row>
    <row r="1264" ht="25" customHeight="1" spans="1:8">
      <c r="A1264" s="6">
        <v>1262</v>
      </c>
      <c r="B1264" s="7" t="str">
        <f t="shared" si="299"/>
        <v>103</v>
      </c>
      <c r="C1264" s="7" t="s">
        <v>663</v>
      </c>
      <c r="D1264" s="7" t="s">
        <v>664</v>
      </c>
      <c r="E1264" s="7" t="str">
        <f>"滕腾"</f>
        <v>滕腾</v>
      </c>
      <c r="F1264" s="7" t="str">
        <f t="shared" si="300"/>
        <v>男</v>
      </c>
      <c r="G1264" s="7" t="s">
        <v>1149</v>
      </c>
      <c r="H1264" s="8"/>
    </row>
    <row r="1265" ht="25" customHeight="1" spans="1:8">
      <c r="A1265" s="6">
        <v>1263</v>
      </c>
      <c r="B1265" s="7" t="str">
        <f t="shared" si="299"/>
        <v>103</v>
      </c>
      <c r="C1265" s="7" t="s">
        <v>663</v>
      </c>
      <c r="D1265" s="7" t="s">
        <v>664</v>
      </c>
      <c r="E1265" s="7" t="str">
        <f>"郭义翔"</f>
        <v>郭义翔</v>
      </c>
      <c r="F1265" s="7" t="str">
        <f t="shared" si="300"/>
        <v>男</v>
      </c>
      <c r="G1265" s="7" t="s">
        <v>1150</v>
      </c>
      <c r="H1265" s="8"/>
    </row>
    <row r="1266" ht="25" customHeight="1" spans="1:8">
      <c r="A1266" s="6">
        <v>1264</v>
      </c>
      <c r="B1266" s="7" t="str">
        <f t="shared" si="299"/>
        <v>103</v>
      </c>
      <c r="C1266" s="7" t="s">
        <v>663</v>
      </c>
      <c r="D1266" s="7" t="s">
        <v>664</v>
      </c>
      <c r="E1266" s="7" t="str">
        <f>"王爱敏"</f>
        <v>王爱敏</v>
      </c>
      <c r="F1266" s="7" t="str">
        <f t="shared" ref="F1266:F1271" si="301">"女"</f>
        <v>女</v>
      </c>
      <c r="G1266" s="7" t="s">
        <v>1151</v>
      </c>
      <c r="H1266" s="8"/>
    </row>
    <row r="1267" ht="25" customHeight="1" spans="1:8">
      <c r="A1267" s="6">
        <v>1265</v>
      </c>
      <c r="B1267" s="7" t="str">
        <f t="shared" si="299"/>
        <v>103</v>
      </c>
      <c r="C1267" s="7" t="s">
        <v>663</v>
      </c>
      <c r="D1267" s="7" t="s">
        <v>664</v>
      </c>
      <c r="E1267" s="7" t="str">
        <f>"冯志明"</f>
        <v>冯志明</v>
      </c>
      <c r="F1267" s="7" t="str">
        <f t="shared" ref="F1267:F1270" si="302">"男"</f>
        <v>男</v>
      </c>
      <c r="G1267" s="7" t="s">
        <v>667</v>
      </c>
      <c r="H1267" s="8"/>
    </row>
    <row r="1268" ht="25" customHeight="1" spans="1:8">
      <c r="A1268" s="6">
        <v>1266</v>
      </c>
      <c r="B1268" s="7" t="str">
        <f t="shared" si="299"/>
        <v>103</v>
      </c>
      <c r="C1268" s="7" t="s">
        <v>663</v>
      </c>
      <c r="D1268" s="7" t="s">
        <v>664</v>
      </c>
      <c r="E1268" s="7" t="str">
        <f>"黎倩妮"</f>
        <v>黎倩妮</v>
      </c>
      <c r="F1268" s="7" t="str">
        <f t="shared" si="301"/>
        <v>女</v>
      </c>
      <c r="G1268" s="7" t="s">
        <v>1152</v>
      </c>
      <c r="H1268" s="8"/>
    </row>
    <row r="1269" ht="25" customHeight="1" spans="1:8">
      <c r="A1269" s="6">
        <v>1267</v>
      </c>
      <c r="B1269" s="7" t="str">
        <f t="shared" si="299"/>
        <v>103</v>
      </c>
      <c r="C1269" s="7" t="s">
        <v>663</v>
      </c>
      <c r="D1269" s="7" t="s">
        <v>664</v>
      </c>
      <c r="E1269" s="7" t="str">
        <f>"陈冠帆"</f>
        <v>陈冠帆</v>
      </c>
      <c r="F1269" s="7" t="str">
        <f t="shared" si="302"/>
        <v>男</v>
      </c>
      <c r="G1269" s="7" t="s">
        <v>598</v>
      </c>
      <c r="H1269" s="8"/>
    </row>
    <row r="1270" ht="25" customHeight="1" spans="1:8">
      <c r="A1270" s="6">
        <v>1268</v>
      </c>
      <c r="B1270" s="7" t="str">
        <f t="shared" si="299"/>
        <v>103</v>
      </c>
      <c r="C1270" s="7" t="s">
        <v>663</v>
      </c>
      <c r="D1270" s="7" t="s">
        <v>664</v>
      </c>
      <c r="E1270" s="7" t="str">
        <f>"刘仟"</f>
        <v>刘仟</v>
      </c>
      <c r="F1270" s="7" t="str">
        <f t="shared" si="302"/>
        <v>男</v>
      </c>
      <c r="G1270" s="7" t="s">
        <v>1153</v>
      </c>
      <c r="H1270" s="8"/>
    </row>
    <row r="1271" ht="25" customHeight="1" spans="1:8">
      <c r="A1271" s="6">
        <v>1269</v>
      </c>
      <c r="B1271" s="7" t="str">
        <f t="shared" si="299"/>
        <v>103</v>
      </c>
      <c r="C1271" s="7" t="s">
        <v>663</v>
      </c>
      <c r="D1271" s="7" t="s">
        <v>664</v>
      </c>
      <c r="E1271" s="7" t="str">
        <f>"曾倞婧"</f>
        <v>曾倞婧</v>
      </c>
      <c r="F1271" s="7" t="str">
        <f t="shared" si="301"/>
        <v>女</v>
      </c>
      <c r="G1271" s="7" t="s">
        <v>376</v>
      </c>
      <c r="H1271" s="8"/>
    </row>
    <row r="1272" ht="25" customHeight="1" spans="1:8">
      <c r="A1272" s="6">
        <v>1270</v>
      </c>
      <c r="B1272" s="7" t="str">
        <f t="shared" si="299"/>
        <v>103</v>
      </c>
      <c r="C1272" s="7" t="s">
        <v>663</v>
      </c>
      <c r="D1272" s="7" t="s">
        <v>664</v>
      </c>
      <c r="E1272" s="7" t="str">
        <f>"兰博涵"</f>
        <v>兰博涵</v>
      </c>
      <c r="F1272" s="7" t="str">
        <f t="shared" ref="F1272:F1274" si="303">"男"</f>
        <v>男</v>
      </c>
      <c r="G1272" s="7" t="s">
        <v>1154</v>
      </c>
      <c r="H1272" s="8"/>
    </row>
    <row r="1273" ht="25" customHeight="1" spans="1:8">
      <c r="A1273" s="6">
        <v>1271</v>
      </c>
      <c r="B1273" s="7" t="str">
        <f t="shared" si="299"/>
        <v>103</v>
      </c>
      <c r="C1273" s="7" t="s">
        <v>663</v>
      </c>
      <c r="D1273" s="7" t="s">
        <v>664</v>
      </c>
      <c r="E1273" s="7" t="str">
        <f>"王上林"</f>
        <v>王上林</v>
      </c>
      <c r="F1273" s="7" t="str">
        <f t="shared" si="303"/>
        <v>男</v>
      </c>
      <c r="G1273" s="7" t="s">
        <v>1155</v>
      </c>
      <c r="H1273" s="8"/>
    </row>
    <row r="1274" ht="25" customHeight="1" spans="1:8">
      <c r="A1274" s="6">
        <v>1272</v>
      </c>
      <c r="B1274" s="7" t="str">
        <f t="shared" si="299"/>
        <v>103</v>
      </c>
      <c r="C1274" s="7" t="s">
        <v>663</v>
      </c>
      <c r="D1274" s="7" t="s">
        <v>664</v>
      </c>
      <c r="E1274" s="7" t="str">
        <f>"郑波华"</f>
        <v>郑波华</v>
      </c>
      <c r="F1274" s="7" t="str">
        <f t="shared" si="303"/>
        <v>男</v>
      </c>
      <c r="G1274" s="7" t="s">
        <v>1156</v>
      </c>
      <c r="H1274" s="8"/>
    </row>
    <row r="1275" ht="25" customHeight="1" spans="1:8">
      <c r="A1275" s="6">
        <v>1273</v>
      </c>
      <c r="B1275" s="7" t="str">
        <f t="shared" si="299"/>
        <v>103</v>
      </c>
      <c r="C1275" s="7" t="s">
        <v>663</v>
      </c>
      <c r="D1275" s="7" t="s">
        <v>664</v>
      </c>
      <c r="E1275" s="7" t="str">
        <f>"许秋雪"</f>
        <v>许秋雪</v>
      </c>
      <c r="F1275" s="7" t="str">
        <f t="shared" ref="F1275:F1277" si="304">"女"</f>
        <v>女</v>
      </c>
      <c r="G1275" s="7" t="s">
        <v>1098</v>
      </c>
      <c r="H1275" s="8"/>
    </row>
    <row r="1276" ht="25" customHeight="1" spans="1:8">
      <c r="A1276" s="6">
        <v>1274</v>
      </c>
      <c r="B1276" s="7" t="str">
        <f t="shared" si="299"/>
        <v>103</v>
      </c>
      <c r="C1276" s="7" t="s">
        <v>663</v>
      </c>
      <c r="D1276" s="7" t="s">
        <v>664</v>
      </c>
      <c r="E1276" s="7" t="str">
        <f>"云颖"</f>
        <v>云颖</v>
      </c>
      <c r="F1276" s="7" t="str">
        <f t="shared" si="304"/>
        <v>女</v>
      </c>
      <c r="G1276" s="7" t="s">
        <v>1157</v>
      </c>
      <c r="H1276" s="8"/>
    </row>
    <row r="1277" ht="25" customHeight="1" spans="1:8">
      <c r="A1277" s="6">
        <v>1275</v>
      </c>
      <c r="B1277" s="7" t="str">
        <f t="shared" si="299"/>
        <v>103</v>
      </c>
      <c r="C1277" s="7" t="s">
        <v>663</v>
      </c>
      <c r="D1277" s="7" t="s">
        <v>664</v>
      </c>
      <c r="E1277" s="7" t="str">
        <f>"高丹爱"</f>
        <v>高丹爱</v>
      </c>
      <c r="F1277" s="7" t="str">
        <f t="shared" si="304"/>
        <v>女</v>
      </c>
      <c r="G1277" s="7" t="s">
        <v>1158</v>
      </c>
      <c r="H1277" s="8"/>
    </row>
    <row r="1278" ht="25" customHeight="1" spans="1:8">
      <c r="A1278" s="6">
        <v>1276</v>
      </c>
      <c r="B1278" s="7" t="str">
        <f t="shared" si="299"/>
        <v>103</v>
      </c>
      <c r="C1278" s="7" t="s">
        <v>663</v>
      </c>
      <c r="D1278" s="7" t="s">
        <v>664</v>
      </c>
      <c r="E1278" s="7" t="str">
        <f>"许有军"</f>
        <v>许有军</v>
      </c>
      <c r="F1278" s="7" t="str">
        <f>"男"</f>
        <v>男</v>
      </c>
      <c r="G1278" s="7" t="s">
        <v>63</v>
      </c>
      <c r="H1278" s="8"/>
    </row>
    <row r="1279" ht="25" customHeight="1" spans="1:8">
      <c r="A1279" s="6">
        <v>1277</v>
      </c>
      <c r="B1279" s="7" t="str">
        <f t="shared" si="299"/>
        <v>103</v>
      </c>
      <c r="C1279" s="7" t="s">
        <v>663</v>
      </c>
      <c r="D1279" s="7" t="s">
        <v>664</v>
      </c>
      <c r="E1279" s="7" t="str">
        <f>"麦姗姗"</f>
        <v>麦姗姗</v>
      </c>
      <c r="F1279" s="7" t="str">
        <f t="shared" ref="F1279:F1282" si="305">"女"</f>
        <v>女</v>
      </c>
      <c r="G1279" s="7" t="s">
        <v>1159</v>
      </c>
      <c r="H1279" s="8"/>
    </row>
    <row r="1280" ht="25" customHeight="1" spans="1:8">
      <c r="A1280" s="6">
        <v>1278</v>
      </c>
      <c r="B1280" s="7" t="str">
        <f t="shared" si="299"/>
        <v>103</v>
      </c>
      <c r="C1280" s="7" t="s">
        <v>663</v>
      </c>
      <c r="D1280" s="7" t="s">
        <v>664</v>
      </c>
      <c r="E1280" s="7" t="str">
        <f>"容静书"</f>
        <v>容静书</v>
      </c>
      <c r="F1280" s="7" t="str">
        <f t="shared" si="305"/>
        <v>女</v>
      </c>
      <c r="G1280" s="7" t="s">
        <v>1160</v>
      </c>
      <c r="H1280" s="8"/>
    </row>
    <row r="1281" ht="25" customHeight="1" spans="1:8">
      <c r="A1281" s="6">
        <v>1279</v>
      </c>
      <c r="B1281" s="7" t="str">
        <f t="shared" si="299"/>
        <v>103</v>
      </c>
      <c r="C1281" s="7" t="s">
        <v>663</v>
      </c>
      <c r="D1281" s="7" t="s">
        <v>664</v>
      </c>
      <c r="E1281" s="7" t="str">
        <f>"杨佳"</f>
        <v>杨佳</v>
      </c>
      <c r="F1281" s="7" t="str">
        <f t="shared" si="305"/>
        <v>女</v>
      </c>
      <c r="G1281" s="7" t="s">
        <v>1161</v>
      </c>
      <c r="H1281" s="8"/>
    </row>
    <row r="1282" ht="25" customHeight="1" spans="1:8">
      <c r="A1282" s="6">
        <v>1280</v>
      </c>
      <c r="B1282" s="7" t="str">
        <f t="shared" si="299"/>
        <v>103</v>
      </c>
      <c r="C1282" s="7" t="s">
        <v>663</v>
      </c>
      <c r="D1282" s="7" t="s">
        <v>664</v>
      </c>
      <c r="E1282" s="7" t="str">
        <f>"郑曼霞"</f>
        <v>郑曼霞</v>
      </c>
      <c r="F1282" s="7" t="str">
        <f t="shared" si="305"/>
        <v>女</v>
      </c>
      <c r="G1282" s="7" t="s">
        <v>661</v>
      </c>
      <c r="H1282" s="8"/>
    </row>
    <row r="1283" ht="25" customHeight="1" spans="1:8">
      <c r="A1283" s="6">
        <v>1281</v>
      </c>
      <c r="B1283" s="7" t="str">
        <f t="shared" si="299"/>
        <v>103</v>
      </c>
      <c r="C1283" s="7" t="s">
        <v>663</v>
      </c>
      <c r="D1283" s="7" t="s">
        <v>664</v>
      </c>
      <c r="E1283" s="7" t="str">
        <f>"梁志华"</f>
        <v>梁志华</v>
      </c>
      <c r="F1283" s="7" t="str">
        <f t="shared" ref="F1283:F1288" si="306">"男"</f>
        <v>男</v>
      </c>
      <c r="G1283" s="7" t="s">
        <v>1162</v>
      </c>
      <c r="H1283" s="8"/>
    </row>
    <row r="1284" ht="25" customHeight="1" spans="1:8">
      <c r="A1284" s="6">
        <v>1282</v>
      </c>
      <c r="B1284" s="7" t="str">
        <f t="shared" si="299"/>
        <v>103</v>
      </c>
      <c r="C1284" s="7" t="s">
        <v>663</v>
      </c>
      <c r="D1284" s="7" t="s">
        <v>664</v>
      </c>
      <c r="E1284" s="7" t="str">
        <f>"董碧欣"</f>
        <v>董碧欣</v>
      </c>
      <c r="F1284" s="7" t="str">
        <f t="shared" ref="F1284:F1290" si="307">"女"</f>
        <v>女</v>
      </c>
      <c r="G1284" s="7" t="s">
        <v>1163</v>
      </c>
      <c r="H1284" s="8"/>
    </row>
    <row r="1285" ht="25" customHeight="1" spans="1:8">
      <c r="A1285" s="6">
        <v>1283</v>
      </c>
      <c r="B1285" s="7" t="str">
        <f t="shared" si="299"/>
        <v>103</v>
      </c>
      <c r="C1285" s="7" t="s">
        <v>663</v>
      </c>
      <c r="D1285" s="7" t="s">
        <v>664</v>
      </c>
      <c r="E1285" s="7" t="str">
        <f>"李博雅"</f>
        <v>李博雅</v>
      </c>
      <c r="F1285" s="7" t="str">
        <f t="shared" si="307"/>
        <v>女</v>
      </c>
      <c r="G1285" s="7" t="s">
        <v>299</v>
      </c>
      <c r="H1285" s="8"/>
    </row>
    <row r="1286" ht="25" customHeight="1" spans="1:8">
      <c r="A1286" s="6">
        <v>1284</v>
      </c>
      <c r="B1286" s="7" t="str">
        <f t="shared" si="299"/>
        <v>103</v>
      </c>
      <c r="C1286" s="7" t="s">
        <v>663</v>
      </c>
      <c r="D1286" s="7" t="s">
        <v>664</v>
      </c>
      <c r="E1286" s="7" t="str">
        <f>"王淇"</f>
        <v>王淇</v>
      </c>
      <c r="F1286" s="7" t="str">
        <f t="shared" si="306"/>
        <v>男</v>
      </c>
      <c r="G1286" s="7" t="s">
        <v>1164</v>
      </c>
      <c r="H1286" s="8"/>
    </row>
    <row r="1287" ht="25" customHeight="1" spans="1:8">
      <c r="A1287" s="6">
        <v>1285</v>
      </c>
      <c r="B1287" s="7" t="str">
        <f t="shared" si="299"/>
        <v>103</v>
      </c>
      <c r="C1287" s="7" t="s">
        <v>663</v>
      </c>
      <c r="D1287" s="7" t="s">
        <v>664</v>
      </c>
      <c r="E1287" s="7" t="str">
        <f>"黎家凯"</f>
        <v>黎家凯</v>
      </c>
      <c r="F1287" s="7" t="str">
        <f t="shared" si="306"/>
        <v>男</v>
      </c>
      <c r="G1287" s="7" t="s">
        <v>1165</v>
      </c>
      <c r="H1287" s="8"/>
    </row>
    <row r="1288" ht="25" customHeight="1" spans="1:8">
      <c r="A1288" s="6">
        <v>1286</v>
      </c>
      <c r="B1288" s="7" t="str">
        <f t="shared" si="299"/>
        <v>103</v>
      </c>
      <c r="C1288" s="7" t="s">
        <v>663</v>
      </c>
      <c r="D1288" s="7" t="s">
        <v>664</v>
      </c>
      <c r="E1288" s="7" t="str">
        <f>"李文凯"</f>
        <v>李文凯</v>
      </c>
      <c r="F1288" s="7" t="str">
        <f t="shared" si="306"/>
        <v>男</v>
      </c>
      <c r="G1288" s="7" t="s">
        <v>1166</v>
      </c>
      <c r="H1288" s="8"/>
    </row>
    <row r="1289" ht="25" customHeight="1" spans="1:8">
      <c r="A1289" s="6">
        <v>1287</v>
      </c>
      <c r="B1289" s="7" t="str">
        <f t="shared" si="299"/>
        <v>103</v>
      </c>
      <c r="C1289" s="7" t="s">
        <v>663</v>
      </c>
      <c r="D1289" s="7" t="s">
        <v>664</v>
      </c>
      <c r="E1289" s="7" t="str">
        <f>"王春莹"</f>
        <v>王春莹</v>
      </c>
      <c r="F1289" s="7" t="str">
        <f t="shared" si="307"/>
        <v>女</v>
      </c>
      <c r="G1289" s="7" t="s">
        <v>1167</v>
      </c>
      <c r="H1289" s="8"/>
    </row>
    <row r="1290" ht="25" customHeight="1" spans="1:8">
      <c r="A1290" s="6">
        <v>1288</v>
      </c>
      <c r="B1290" s="7" t="str">
        <f t="shared" si="299"/>
        <v>103</v>
      </c>
      <c r="C1290" s="7" t="s">
        <v>663</v>
      </c>
      <c r="D1290" s="7" t="s">
        <v>664</v>
      </c>
      <c r="E1290" s="7" t="str">
        <f>"林申申"</f>
        <v>林申申</v>
      </c>
      <c r="F1290" s="7" t="str">
        <f t="shared" si="307"/>
        <v>女</v>
      </c>
      <c r="G1290" s="7" t="s">
        <v>172</v>
      </c>
      <c r="H1290" s="8"/>
    </row>
    <row r="1291" ht="25" customHeight="1" spans="1:8">
      <c r="A1291" s="6">
        <v>1289</v>
      </c>
      <c r="B1291" s="7" t="str">
        <f t="shared" si="299"/>
        <v>103</v>
      </c>
      <c r="C1291" s="7" t="s">
        <v>663</v>
      </c>
      <c r="D1291" s="7" t="s">
        <v>664</v>
      </c>
      <c r="E1291" s="7" t="str">
        <f>"林麒"</f>
        <v>林麒</v>
      </c>
      <c r="F1291" s="7" t="str">
        <f t="shared" ref="F1291:F1296" si="308">"男"</f>
        <v>男</v>
      </c>
      <c r="G1291" s="7" t="s">
        <v>1168</v>
      </c>
      <c r="H1291" s="8"/>
    </row>
    <row r="1292" ht="25" customHeight="1" spans="1:8">
      <c r="A1292" s="6">
        <v>1290</v>
      </c>
      <c r="B1292" s="7" t="str">
        <f t="shared" si="299"/>
        <v>103</v>
      </c>
      <c r="C1292" s="7" t="s">
        <v>663</v>
      </c>
      <c r="D1292" s="7" t="s">
        <v>664</v>
      </c>
      <c r="E1292" s="7" t="str">
        <f>"秦捷"</f>
        <v>秦捷</v>
      </c>
      <c r="F1292" s="7" t="str">
        <f t="shared" ref="F1292:F1295" si="309">"女"</f>
        <v>女</v>
      </c>
      <c r="G1292" s="7" t="s">
        <v>798</v>
      </c>
      <c r="H1292" s="8"/>
    </row>
    <row r="1293" ht="25" customHeight="1" spans="1:8">
      <c r="A1293" s="6">
        <v>1291</v>
      </c>
      <c r="B1293" s="7" t="str">
        <f t="shared" si="299"/>
        <v>103</v>
      </c>
      <c r="C1293" s="7" t="s">
        <v>663</v>
      </c>
      <c r="D1293" s="7" t="s">
        <v>664</v>
      </c>
      <c r="E1293" s="7" t="str">
        <f>"高承娜"</f>
        <v>高承娜</v>
      </c>
      <c r="F1293" s="7" t="str">
        <f t="shared" si="309"/>
        <v>女</v>
      </c>
      <c r="G1293" s="7" t="s">
        <v>1007</v>
      </c>
      <c r="H1293" s="8"/>
    </row>
    <row r="1294" ht="25" customHeight="1" spans="1:8">
      <c r="A1294" s="6">
        <v>1292</v>
      </c>
      <c r="B1294" s="7" t="str">
        <f t="shared" si="299"/>
        <v>103</v>
      </c>
      <c r="C1294" s="7" t="s">
        <v>663</v>
      </c>
      <c r="D1294" s="7" t="s">
        <v>664</v>
      </c>
      <c r="E1294" s="7" t="str">
        <f>"陈继瑞"</f>
        <v>陈继瑞</v>
      </c>
      <c r="F1294" s="7" t="str">
        <f t="shared" si="308"/>
        <v>男</v>
      </c>
      <c r="G1294" s="7" t="s">
        <v>1169</v>
      </c>
      <c r="H1294" s="8"/>
    </row>
    <row r="1295" ht="25" customHeight="1" spans="1:8">
      <c r="A1295" s="6">
        <v>1293</v>
      </c>
      <c r="B1295" s="7" t="str">
        <f t="shared" si="299"/>
        <v>103</v>
      </c>
      <c r="C1295" s="7" t="s">
        <v>663</v>
      </c>
      <c r="D1295" s="7" t="s">
        <v>664</v>
      </c>
      <c r="E1295" s="7" t="str">
        <f>"郑奕萱"</f>
        <v>郑奕萱</v>
      </c>
      <c r="F1295" s="7" t="str">
        <f t="shared" si="309"/>
        <v>女</v>
      </c>
      <c r="G1295" s="7" t="s">
        <v>830</v>
      </c>
      <c r="H1295" s="8"/>
    </row>
    <row r="1296" ht="25" customHeight="1" spans="1:8">
      <c r="A1296" s="6">
        <v>1294</v>
      </c>
      <c r="B1296" s="7" t="str">
        <f t="shared" si="299"/>
        <v>103</v>
      </c>
      <c r="C1296" s="7" t="s">
        <v>663</v>
      </c>
      <c r="D1296" s="7" t="s">
        <v>664</v>
      </c>
      <c r="E1296" s="7" t="str">
        <f>"庄宗洁"</f>
        <v>庄宗洁</v>
      </c>
      <c r="F1296" s="7" t="str">
        <f t="shared" si="308"/>
        <v>男</v>
      </c>
      <c r="G1296" s="7" t="s">
        <v>1074</v>
      </c>
      <c r="H1296" s="8"/>
    </row>
    <row r="1297" ht="25" customHeight="1" spans="1:8">
      <c r="A1297" s="6">
        <v>1295</v>
      </c>
      <c r="B1297" s="7" t="str">
        <f t="shared" si="299"/>
        <v>103</v>
      </c>
      <c r="C1297" s="7" t="s">
        <v>663</v>
      </c>
      <c r="D1297" s="7" t="s">
        <v>664</v>
      </c>
      <c r="E1297" s="7" t="str">
        <f>"郭金珠"</f>
        <v>郭金珠</v>
      </c>
      <c r="F1297" s="7" t="str">
        <f t="shared" ref="F1297:F1303" si="310">"女"</f>
        <v>女</v>
      </c>
      <c r="G1297" s="7" t="s">
        <v>1170</v>
      </c>
      <c r="H1297" s="8"/>
    </row>
    <row r="1298" ht="25" customHeight="1" spans="1:8">
      <c r="A1298" s="6">
        <v>1296</v>
      </c>
      <c r="B1298" s="7" t="str">
        <f t="shared" si="299"/>
        <v>103</v>
      </c>
      <c r="C1298" s="7" t="s">
        <v>663</v>
      </c>
      <c r="D1298" s="7" t="s">
        <v>664</v>
      </c>
      <c r="E1298" s="7" t="str">
        <f>"薛大山"</f>
        <v>薛大山</v>
      </c>
      <c r="F1298" s="7" t="str">
        <f>"男"</f>
        <v>男</v>
      </c>
      <c r="G1298" s="7" t="s">
        <v>1171</v>
      </c>
      <c r="H1298" s="8"/>
    </row>
    <row r="1299" ht="25" customHeight="1" spans="1:8">
      <c r="A1299" s="6">
        <v>1297</v>
      </c>
      <c r="B1299" s="7" t="str">
        <f t="shared" si="299"/>
        <v>103</v>
      </c>
      <c r="C1299" s="7" t="s">
        <v>663</v>
      </c>
      <c r="D1299" s="7" t="s">
        <v>664</v>
      </c>
      <c r="E1299" s="7" t="str">
        <f>"王幸"</f>
        <v>王幸</v>
      </c>
      <c r="F1299" s="7" t="str">
        <f t="shared" si="310"/>
        <v>女</v>
      </c>
      <c r="G1299" s="7" t="s">
        <v>1172</v>
      </c>
      <c r="H1299" s="8"/>
    </row>
    <row r="1300" ht="25" customHeight="1" spans="1:8">
      <c r="A1300" s="6">
        <v>1298</v>
      </c>
      <c r="B1300" s="7" t="str">
        <f t="shared" si="299"/>
        <v>103</v>
      </c>
      <c r="C1300" s="7" t="s">
        <v>663</v>
      </c>
      <c r="D1300" s="7" t="s">
        <v>664</v>
      </c>
      <c r="E1300" s="7" t="str">
        <f>"苏婷婷"</f>
        <v>苏婷婷</v>
      </c>
      <c r="F1300" s="7" t="str">
        <f t="shared" si="310"/>
        <v>女</v>
      </c>
      <c r="G1300" s="7" t="s">
        <v>376</v>
      </c>
      <c r="H1300" s="8"/>
    </row>
    <row r="1301" ht="25" customHeight="1" spans="1:8">
      <c r="A1301" s="6">
        <v>1299</v>
      </c>
      <c r="B1301" s="7" t="str">
        <f t="shared" si="299"/>
        <v>103</v>
      </c>
      <c r="C1301" s="7" t="s">
        <v>663</v>
      </c>
      <c r="D1301" s="7" t="s">
        <v>664</v>
      </c>
      <c r="E1301" s="7" t="str">
        <f>"吴新果"</f>
        <v>吴新果</v>
      </c>
      <c r="F1301" s="7" t="str">
        <f t="shared" si="310"/>
        <v>女</v>
      </c>
      <c r="G1301" s="7" t="s">
        <v>1173</v>
      </c>
      <c r="H1301" s="8"/>
    </row>
    <row r="1302" ht="25" customHeight="1" spans="1:8">
      <c r="A1302" s="6">
        <v>1300</v>
      </c>
      <c r="B1302" s="7" t="str">
        <f t="shared" si="299"/>
        <v>103</v>
      </c>
      <c r="C1302" s="7" t="s">
        <v>663</v>
      </c>
      <c r="D1302" s="7" t="s">
        <v>664</v>
      </c>
      <c r="E1302" s="7" t="str">
        <f>"梁讯"</f>
        <v>梁讯</v>
      </c>
      <c r="F1302" s="7" t="str">
        <f t="shared" si="310"/>
        <v>女</v>
      </c>
      <c r="G1302" s="7" t="s">
        <v>1174</v>
      </c>
      <c r="H1302" s="8"/>
    </row>
    <row r="1303" ht="25" customHeight="1" spans="1:8">
      <c r="A1303" s="6">
        <v>1301</v>
      </c>
      <c r="B1303" s="7" t="str">
        <f t="shared" si="299"/>
        <v>103</v>
      </c>
      <c r="C1303" s="7" t="s">
        <v>663</v>
      </c>
      <c r="D1303" s="7" t="s">
        <v>664</v>
      </c>
      <c r="E1303" s="7" t="str">
        <f>"李卓艺"</f>
        <v>李卓艺</v>
      </c>
      <c r="F1303" s="7" t="str">
        <f t="shared" si="310"/>
        <v>女</v>
      </c>
      <c r="G1303" s="7" t="s">
        <v>262</v>
      </c>
      <c r="H1303" s="8"/>
    </row>
    <row r="1304" ht="25" customHeight="1" spans="1:8">
      <c r="A1304" s="6">
        <v>1302</v>
      </c>
      <c r="B1304" s="7" t="str">
        <f t="shared" si="299"/>
        <v>103</v>
      </c>
      <c r="C1304" s="7" t="s">
        <v>663</v>
      </c>
      <c r="D1304" s="7" t="s">
        <v>664</v>
      </c>
      <c r="E1304" s="7" t="str">
        <f>"谢熙龙"</f>
        <v>谢熙龙</v>
      </c>
      <c r="F1304" s="7" t="str">
        <f t="shared" ref="F1304:F1308" si="311">"男"</f>
        <v>男</v>
      </c>
      <c r="G1304" s="7" t="s">
        <v>1175</v>
      </c>
      <c r="H1304" s="8"/>
    </row>
    <row r="1305" ht="25" customHeight="1" spans="1:8">
      <c r="A1305" s="6">
        <v>1303</v>
      </c>
      <c r="B1305" s="7" t="str">
        <f t="shared" si="299"/>
        <v>103</v>
      </c>
      <c r="C1305" s="7" t="s">
        <v>663</v>
      </c>
      <c r="D1305" s="7" t="s">
        <v>664</v>
      </c>
      <c r="E1305" s="7" t="str">
        <f>"朱宝兴"</f>
        <v>朱宝兴</v>
      </c>
      <c r="F1305" s="7" t="str">
        <f t="shared" si="311"/>
        <v>男</v>
      </c>
      <c r="G1305" s="7" t="s">
        <v>1176</v>
      </c>
      <c r="H1305" s="8"/>
    </row>
    <row r="1306" ht="25" customHeight="1" spans="1:8">
      <c r="A1306" s="6">
        <v>1304</v>
      </c>
      <c r="B1306" s="7" t="str">
        <f t="shared" si="299"/>
        <v>103</v>
      </c>
      <c r="C1306" s="7" t="s">
        <v>663</v>
      </c>
      <c r="D1306" s="7" t="s">
        <v>664</v>
      </c>
      <c r="E1306" s="7" t="str">
        <f>"林容妃"</f>
        <v>林容妃</v>
      </c>
      <c r="F1306" s="7" t="str">
        <f t="shared" ref="F1306:F1316" si="312">"女"</f>
        <v>女</v>
      </c>
      <c r="G1306" s="7" t="s">
        <v>1177</v>
      </c>
      <c r="H1306" s="8"/>
    </row>
    <row r="1307" ht="25" customHeight="1" spans="1:8">
      <c r="A1307" s="6">
        <v>1305</v>
      </c>
      <c r="B1307" s="7" t="str">
        <f t="shared" si="299"/>
        <v>103</v>
      </c>
      <c r="C1307" s="7" t="s">
        <v>663</v>
      </c>
      <c r="D1307" s="7" t="s">
        <v>664</v>
      </c>
      <c r="E1307" s="7" t="str">
        <f>"张美玲"</f>
        <v>张美玲</v>
      </c>
      <c r="F1307" s="7" t="str">
        <f t="shared" si="312"/>
        <v>女</v>
      </c>
      <c r="G1307" s="7" t="s">
        <v>1178</v>
      </c>
      <c r="H1307" s="8"/>
    </row>
    <row r="1308" ht="25" customHeight="1" spans="1:8">
      <c r="A1308" s="6">
        <v>1306</v>
      </c>
      <c r="B1308" s="7" t="str">
        <f t="shared" si="299"/>
        <v>103</v>
      </c>
      <c r="C1308" s="7" t="s">
        <v>663</v>
      </c>
      <c r="D1308" s="7" t="s">
        <v>664</v>
      </c>
      <c r="E1308" s="7" t="str">
        <f>"李明吉"</f>
        <v>李明吉</v>
      </c>
      <c r="F1308" s="7" t="str">
        <f t="shared" si="311"/>
        <v>男</v>
      </c>
      <c r="G1308" s="7" t="s">
        <v>1179</v>
      </c>
      <c r="H1308" s="8"/>
    </row>
    <row r="1309" ht="25" customHeight="1" spans="1:8">
      <c r="A1309" s="6">
        <v>1307</v>
      </c>
      <c r="B1309" s="7" t="str">
        <f t="shared" si="299"/>
        <v>103</v>
      </c>
      <c r="C1309" s="7" t="s">
        <v>663</v>
      </c>
      <c r="D1309" s="7" t="s">
        <v>664</v>
      </c>
      <c r="E1309" s="7" t="str">
        <f>"王慧"</f>
        <v>王慧</v>
      </c>
      <c r="F1309" s="7" t="str">
        <f t="shared" si="312"/>
        <v>女</v>
      </c>
      <c r="G1309" s="7" t="s">
        <v>1180</v>
      </c>
      <c r="H1309" s="8"/>
    </row>
    <row r="1310" ht="25" customHeight="1" spans="1:8">
      <c r="A1310" s="6">
        <v>1308</v>
      </c>
      <c r="B1310" s="7" t="str">
        <f t="shared" si="299"/>
        <v>103</v>
      </c>
      <c r="C1310" s="7" t="s">
        <v>663</v>
      </c>
      <c r="D1310" s="7" t="s">
        <v>664</v>
      </c>
      <c r="E1310" s="7" t="str">
        <f>"吴奇冠"</f>
        <v>吴奇冠</v>
      </c>
      <c r="F1310" s="7" t="str">
        <f t="shared" si="312"/>
        <v>女</v>
      </c>
      <c r="G1310" s="7" t="s">
        <v>1181</v>
      </c>
      <c r="H1310" s="8"/>
    </row>
    <row r="1311" ht="25" customHeight="1" spans="1:8">
      <c r="A1311" s="6">
        <v>1309</v>
      </c>
      <c r="B1311" s="7" t="str">
        <f t="shared" si="299"/>
        <v>103</v>
      </c>
      <c r="C1311" s="7" t="s">
        <v>663</v>
      </c>
      <c r="D1311" s="7" t="s">
        <v>664</v>
      </c>
      <c r="E1311" s="7" t="str">
        <f>"陈芸"</f>
        <v>陈芸</v>
      </c>
      <c r="F1311" s="7" t="str">
        <f t="shared" si="312"/>
        <v>女</v>
      </c>
      <c r="G1311" s="7" t="s">
        <v>1182</v>
      </c>
      <c r="H1311" s="8"/>
    </row>
    <row r="1312" ht="25" customHeight="1" spans="1:8">
      <c r="A1312" s="6">
        <v>1310</v>
      </c>
      <c r="B1312" s="7" t="str">
        <f t="shared" si="299"/>
        <v>103</v>
      </c>
      <c r="C1312" s="7" t="s">
        <v>663</v>
      </c>
      <c r="D1312" s="7" t="s">
        <v>664</v>
      </c>
      <c r="E1312" s="7" t="str">
        <f>"罗佳"</f>
        <v>罗佳</v>
      </c>
      <c r="F1312" s="7" t="str">
        <f t="shared" si="312"/>
        <v>女</v>
      </c>
      <c r="G1312" s="7" t="s">
        <v>1007</v>
      </c>
      <c r="H1312" s="8"/>
    </row>
    <row r="1313" ht="25" customHeight="1" spans="1:8">
      <c r="A1313" s="6">
        <v>1311</v>
      </c>
      <c r="B1313" s="7" t="str">
        <f t="shared" si="299"/>
        <v>103</v>
      </c>
      <c r="C1313" s="7" t="s">
        <v>663</v>
      </c>
      <c r="D1313" s="7" t="s">
        <v>664</v>
      </c>
      <c r="E1313" s="7" t="str">
        <f>"兰田靖"</f>
        <v>兰田靖</v>
      </c>
      <c r="F1313" s="7" t="str">
        <f t="shared" si="312"/>
        <v>女</v>
      </c>
      <c r="G1313" s="7" t="s">
        <v>1183</v>
      </c>
      <c r="H1313" s="8"/>
    </row>
    <row r="1314" ht="25" customHeight="1" spans="1:8">
      <c r="A1314" s="6">
        <v>1312</v>
      </c>
      <c r="B1314" s="7" t="str">
        <f t="shared" si="299"/>
        <v>103</v>
      </c>
      <c r="C1314" s="7" t="s">
        <v>663</v>
      </c>
      <c r="D1314" s="7" t="s">
        <v>664</v>
      </c>
      <c r="E1314" s="7" t="str">
        <f>"梁杰玲"</f>
        <v>梁杰玲</v>
      </c>
      <c r="F1314" s="7" t="str">
        <f t="shared" si="312"/>
        <v>女</v>
      </c>
      <c r="G1314" s="7" t="s">
        <v>1184</v>
      </c>
      <c r="H1314" s="8"/>
    </row>
    <row r="1315" ht="25" customHeight="1" spans="1:8">
      <c r="A1315" s="6">
        <v>1313</v>
      </c>
      <c r="B1315" s="7" t="str">
        <f t="shared" si="299"/>
        <v>103</v>
      </c>
      <c r="C1315" s="7" t="s">
        <v>663</v>
      </c>
      <c r="D1315" s="7" t="s">
        <v>664</v>
      </c>
      <c r="E1315" s="7" t="str">
        <f>"符颖"</f>
        <v>符颖</v>
      </c>
      <c r="F1315" s="7" t="str">
        <f t="shared" si="312"/>
        <v>女</v>
      </c>
      <c r="G1315" s="7" t="s">
        <v>660</v>
      </c>
      <c r="H1315" s="8"/>
    </row>
    <row r="1316" ht="25" customHeight="1" spans="1:8">
      <c r="A1316" s="6">
        <v>1314</v>
      </c>
      <c r="B1316" s="7" t="str">
        <f t="shared" si="299"/>
        <v>103</v>
      </c>
      <c r="C1316" s="7" t="s">
        <v>663</v>
      </c>
      <c r="D1316" s="7" t="s">
        <v>664</v>
      </c>
      <c r="E1316" s="7" t="str">
        <f>"陈苗苗"</f>
        <v>陈苗苗</v>
      </c>
      <c r="F1316" s="7" t="str">
        <f t="shared" si="312"/>
        <v>女</v>
      </c>
      <c r="G1316" s="7" t="s">
        <v>76</v>
      </c>
      <c r="H1316" s="8"/>
    </row>
    <row r="1317" ht="25" customHeight="1" spans="1:8">
      <c r="A1317" s="6">
        <v>1315</v>
      </c>
      <c r="B1317" s="7" t="str">
        <f t="shared" si="299"/>
        <v>103</v>
      </c>
      <c r="C1317" s="7" t="s">
        <v>663</v>
      </c>
      <c r="D1317" s="7" t="s">
        <v>664</v>
      </c>
      <c r="E1317" s="7" t="str">
        <f>"吴坤伦"</f>
        <v>吴坤伦</v>
      </c>
      <c r="F1317" s="7" t="str">
        <f t="shared" ref="F1317:F1321" si="313">"男"</f>
        <v>男</v>
      </c>
      <c r="G1317" s="7" t="s">
        <v>1185</v>
      </c>
      <c r="H1317" s="8"/>
    </row>
    <row r="1318" ht="25" customHeight="1" spans="1:8">
      <c r="A1318" s="6">
        <v>1316</v>
      </c>
      <c r="B1318" s="7" t="str">
        <f t="shared" si="299"/>
        <v>103</v>
      </c>
      <c r="C1318" s="7" t="s">
        <v>663</v>
      </c>
      <c r="D1318" s="7" t="s">
        <v>664</v>
      </c>
      <c r="E1318" s="7" t="str">
        <f>"蔡逸霖"</f>
        <v>蔡逸霖</v>
      </c>
      <c r="F1318" s="7" t="str">
        <f t="shared" ref="F1318:F1327" si="314">"女"</f>
        <v>女</v>
      </c>
      <c r="G1318" s="7" t="s">
        <v>1186</v>
      </c>
      <c r="H1318" s="8"/>
    </row>
    <row r="1319" ht="25" customHeight="1" spans="1:8">
      <c r="A1319" s="6">
        <v>1317</v>
      </c>
      <c r="B1319" s="7" t="str">
        <f t="shared" si="299"/>
        <v>103</v>
      </c>
      <c r="C1319" s="7" t="s">
        <v>663</v>
      </c>
      <c r="D1319" s="7" t="s">
        <v>664</v>
      </c>
      <c r="E1319" s="7" t="str">
        <f>"陈丽蓉"</f>
        <v>陈丽蓉</v>
      </c>
      <c r="F1319" s="7" t="str">
        <f t="shared" si="314"/>
        <v>女</v>
      </c>
      <c r="G1319" s="7" t="s">
        <v>308</v>
      </c>
      <c r="H1319" s="8"/>
    </row>
    <row r="1320" ht="25" customHeight="1" spans="1:8">
      <c r="A1320" s="6">
        <v>1318</v>
      </c>
      <c r="B1320" s="7" t="str">
        <f t="shared" ref="B1320:B1383" si="315">"103"</f>
        <v>103</v>
      </c>
      <c r="C1320" s="7" t="s">
        <v>663</v>
      </c>
      <c r="D1320" s="7" t="s">
        <v>664</v>
      </c>
      <c r="E1320" s="7" t="str">
        <f>"王传凯"</f>
        <v>王传凯</v>
      </c>
      <c r="F1320" s="7" t="str">
        <f t="shared" si="313"/>
        <v>男</v>
      </c>
      <c r="G1320" s="7" t="s">
        <v>1187</v>
      </c>
      <c r="H1320" s="8"/>
    </row>
    <row r="1321" ht="25" customHeight="1" spans="1:8">
      <c r="A1321" s="6">
        <v>1319</v>
      </c>
      <c r="B1321" s="7" t="str">
        <f t="shared" si="315"/>
        <v>103</v>
      </c>
      <c r="C1321" s="7" t="s">
        <v>663</v>
      </c>
      <c r="D1321" s="7" t="s">
        <v>664</v>
      </c>
      <c r="E1321" s="7" t="str">
        <f>"郑超介"</f>
        <v>郑超介</v>
      </c>
      <c r="F1321" s="7" t="str">
        <f t="shared" si="313"/>
        <v>男</v>
      </c>
      <c r="G1321" s="7" t="s">
        <v>1188</v>
      </c>
      <c r="H1321" s="8"/>
    </row>
    <row r="1322" ht="25" customHeight="1" spans="1:8">
      <c r="A1322" s="6">
        <v>1320</v>
      </c>
      <c r="B1322" s="7" t="str">
        <f t="shared" si="315"/>
        <v>103</v>
      </c>
      <c r="C1322" s="7" t="s">
        <v>663</v>
      </c>
      <c r="D1322" s="7" t="s">
        <v>664</v>
      </c>
      <c r="E1322" s="7" t="str">
        <f>"叶佳慧"</f>
        <v>叶佳慧</v>
      </c>
      <c r="F1322" s="7" t="str">
        <f t="shared" si="314"/>
        <v>女</v>
      </c>
      <c r="G1322" s="7" t="s">
        <v>362</v>
      </c>
      <c r="H1322" s="8"/>
    </row>
    <row r="1323" ht="25" customHeight="1" spans="1:8">
      <c r="A1323" s="6">
        <v>1321</v>
      </c>
      <c r="B1323" s="7" t="str">
        <f t="shared" si="315"/>
        <v>103</v>
      </c>
      <c r="C1323" s="7" t="s">
        <v>663</v>
      </c>
      <c r="D1323" s="7" t="s">
        <v>664</v>
      </c>
      <c r="E1323" s="7" t="str">
        <f>"曾盈盈"</f>
        <v>曾盈盈</v>
      </c>
      <c r="F1323" s="7" t="str">
        <f t="shared" si="314"/>
        <v>女</v>
      </c>
      <c r="G1323" s="7" t="s">
        <v>1189</v>
      </c>
      <c r="H1323" s="8"/>
    </row>
    <row r="1324" ht="25" customHeight="1" spans="1:8">
      <c r="A1324" s="6">
        <v>1322</v>
      </c>
      <c r="B1324" s="7" t="str">
        <f t="shared" si="315"/>
        <v>103</v>
      </c>
      <c r="C1324" s="7" t="s">
        <v>663</v>
      </c>
      <c r="D1324" s="7" t="s">
        <v>664</v>
      </c>
      <c r="E1324" s="7" t="str">
        <f>"王秀娟"</f>
        <v>王秀娟</v>
      </c>
      <c r="F1324" s="7" t="str">
        <f t="shared" si="314"/>
        <v>女</v>
      </c>
      <c r="G1324" s="7" t="s">
        <v>1190</v>
      </c>
      <c r="H1324" s="8"/>
    </row>
    <row r="1325" ht="25" customHeight="1" spans="1:8">
      <c r="A1325" s="6">
        <v>1323</v>
      </c>
      <c r="B1325" s="7" t="str">
        <f t="shared" si="315"/>
        <v>103</v>
      </c>
      <c r="C1325" s="7" t="s">
        <v>663</v>
      </c>
      <c r="D1325" s="7" t="s">
        <v>664</v>
      </c>
      <c r="E1325" s="7" t="str">
        <f>"韦喜悦"</f>
        <v>韦喜悦</v>
      </c>
      <c r="F1325" s="7" t="str">
        <f t="shared" si="314"/>
        <v>女</v>
      </c>
      <c r="G1325" s="7" t="s">
        <v>1191</v>
      </c>
      <c r="H1325" s="8"/>
    </row>
    <row r="1326" ht="25" customHeight="1" spans="1:8">
      <c r="A1326" s="6">
        <v>1324</v>
      </c>
      <c r="B1326" s="7" t="str">
        <f t="shared" si="315"/>
        <v>103</v>
      </c>
      <c r="C1326" s="7" t="s">
        <v>663</v>
      </c>
      <c r="D1326" s="7" t="s">
        <v>664</v>
      </c>
      <c r="E1326" s="7" t="str">
        <f>"黄艳芳"</f>
        <v>黄艳芳</v>
      </c>
      <c r="F1326" s="7" t="str">
        <f t="shared" si="314"/>
        <v>女</v>
      </c>
      <c r="G1326" s="7" t="s">
        <v>1192</v>
      </c>
      <c r="H1326" s="8"/>
    </row>
    <row r="1327" ht="25" customHeight="1" spans="1:8">
      <c r="A1327" s="6">
        <v>1325</v>
      </c>
      <c r="B1327" s="7" t="str">
        <f t="shared" si="315"/>
        <v>103</v>
      </c>
      <c r="C1327" s="7" t="s">
        <v>663</v>
      </c>
      <c r="D1327" s="7" t="s">
        <v>664</v>
      </c>
      <c r="E1327" s="7" t="str">
        <f>"韩颖"</f>
        <v>韩颖</v>
      </c>
      <c r="F1327" s="7" t="str">
        <f t="shared" si="314"/>
        <v>女</v>
      </c>
      <c r="G1327" s="7" t="s">
        <v>248</v>
      </c>
      <c r="H1327" s="8"/>
    </row>
    <row r="1328" ht="25" customHeight="1" spans="1:8">
      <c r="A1328" s="6">
        <v>1326</v>
      </c>
      <c r="B1328" s="7" t="str">
        <f t="shared" si="315"/>
        <v>103</v>
      </c>
      <c r="C1328" s="7" t="s">
        <v>663</v>
      </c>
      <c r="D1328" s="7" t="s">
        <v>664</v>
      </c>
      <c r="E1328" s="7" t="str">
        <f>"王治伟"</f>
        <v>王治伟</v>
      </c>
      <c r="F1328" s="7" t="str">
        <f t="shared" ref="F1328:F1331" si="316">"男"</f>
        <v>男</v>
      </c>
      <c r="G1328" s="7" t="s">
        <v>1193</v>
      </c>
      <c r="H1328" s="8"/>
    </row>
    <row r="1329" ht="25" customHeight="1" spans="1:8">
      <c r="A1329" s="6">
        <v>1327</v>
      </c>
      <c r="B1329" s="7" t="str">
        <f t="shared" si="315"/>
        <v>103</v>
      </c>
      <c r="C1329" s="7" t="s">
        <v>663</v>
      </c>
      <c r="D1329" s="7" t="s">
        <v>664</v>
      </c>
      <c r="E1329" s="7" t="str">
        <f>"杨佩"</f>
        <v>杨佩</v>
      </c>
      <c r="F1329" s="7" t="str">
        <f t="shared" si="316"/>
        <v>男</v>
      </c>
      <c r="G1329" s="7" t="s">
        <v>193</v>
      </c>
      <c r="H1329" s="8"/>
    </row>
    <row r="1330" ht="25" customHeight="1" spans="1:8">
      <c r="A1330" s="6">
        <v>1328</v>
      </c>
      <c r="B1330" s="7" t="str">
        <f t="shared" si="315"/>
        <v>103</v>
      </c>
      <c r="C1330" s="7" t="s">
        <v>663</v>
      </c>
      <c r="D1330" s="7" t="s">
        <v>664</v>
      </c>
      <c r="E1330" s="7" t="str">
        <f>"洪彩云"</f>
        <v>洪彩云</v>
      </c>
      <c r="F1330" s="7" t="str">
        <f t="shared" ref="F1330:F1337" si="317">"女"</f>
        <v>女</v>
      </c>
      <c r="G1330" s="7" t="s">
        <v>1194</v>
      </c>
      <c r="H1330" s="8"/>
    </row>
    <row r="1331" ht="25" customHeight="1" spans="1:8">
      <c r="A1331" s="6">
        <v>1329</v>
      </c>
      <c r="B1331" s="7" t="str">
        <f t="shared" si="315"/>
        <v>103</v>
      </c>
      <c r="C1331" s="7" t="s">
        <v>663</v>
      </c>
      <c r="D1331" s="7" t="s">
        <v>664</v>
      </c>
      <c r="E1331" s="7" t="str">
        <f>"赵开元"</f>
        <v>赵开元</v>
      </c>
      <c r="F1331" s="7" t="str">
        <f t="shared" si="316"/>
        <v>男</v>
      </c>
      <c r="G1331" s="7" t="s">
        <v>311</v>
      </c>
      <c r="H1331" s="8"/>
    </row>
    <row r="1332" ht="25" customHeight="1" spans="1:8">
      <c r="A1332" s="6">
        <v>1330</v>
      </c>
      <c r="B1332" s="7" t="str">
        <f t="shared" si="315"/>
        <v>103</v>
      </c>
      <c r="C1332" s="7" t="s">
        <v>663</v>
      </c>
      <c r="D1332" s="7" t="s">
        <v>664</v>
      </c>
      <c r="E1332" s="7" t="str">
        <f>"梁姑侬"</f>
        <v>梁姑侬</v>
      </c>
      <c r="F1332" s="7" t="str">
        <f t="shared" si="317"/>
        <v>女</v>
      </c>
      <c r="G1332" s="7" t="s">
        <v>593</v>
      </c>
      <c r="H1332" s="8"/>
    </row>
    <row r="1333" ht="25" customHeight="1" spans="1:8">
      <c r="A1333" s="6">
        <v>1331</v>
      </c>
      <c r="B1333" s="7" t="str">
        <f t="shared" si="315"/>
        <v>103</v>
      </c>
      <c r="C1333" s="7" t="s">
        <v>663</v>
      </c>
      <c r="D1333" s="7" t="s">
        <v>664</v>
      </c>
      <c r="E1333" s="7" t="str">
        <f>"曾德能"</f>
        <v>曾德能</v>
      </c>
      <c r="F1333" s="7" t="str">
        <f t="shared" ref="F1333:F1338" si="318">"男"</f>
        <v>男</v>
      </c>
      <c r="G1333" s="7" t="s">
        <v>948</v>
      </c>
      <c r="H1333" s="8"/>
    </row>
    <row r="1334" ht="25" customHeight="1" spans="1:8">
      <c r="A1334" s="6">
        <v>1332</v>
      </c>
      <c r="B1334" s="7" t="str">
        <f t="shared" si="315"/>
        <v>103</v>
      </c>
      <c r="C1334" s="7" t="s">
        <v>663</v>
      </c>
      <c r="D1334" s="7" t="s">
        <v>664</v>
      </c>
      <c r="E1334" s="7" t="str">
        <f>"何定葵"</f>
        <v>何定葵</v>
      </c>
      <c r="F1334" s="7" t="str">
        <f t="shared" si="318"/>
        <v>男</v>
      </c>
      <c r="G1334" s="7" t="s">
        <v>1195</v>
      </c>
      <c r="H1334" s="8"/>
    </row>
    <row r="1335" ht="25" customHeight="1" spans="1:8">
      <c r="A1335" s="6">
        <v>1333</v>
      </c>
      <c r="B1335" s="7" t="str">
        <f t="shared" si="315"/>
        <v>103</v>
      </c>
      <c r="C1335" s="7" t="s">
        <v>663</v>
      </c>
      <c r="D1335" s="7" t="s">
        <v>664</v>
      </c>
      <c r="E1335" s="7" t="str">
        <f>"孙萌萌"</f>
        <v>孙萌萌</v>
      </c>
      <c r="F1335" s="7" t="str">
        <f t="shared" si="317"/>
        <v>女</v>
      </c>
      <c r="G1335" s="7" t="s">
        <v>1196</v>
      </c>
      <c r="H1335" s="8"/>
    </row>
    <row r="1336" ht="25" customHeight="1" spans="1:8">
      <c r="A1336" s="6">
        <v>1334</v>
      </c>
      <c r="B1336" s="7" t="str">
        <f t="shared" si="315"/>
        <v>103</v>
      </c>
      <c r="C1336" s="7" t="s">
        <v>663</v>
      </c>
      <c r="D1336" s="7" t="s">
        <v>664</v>
      </c>
      <c r="E1336" s="7" t="str">
        <f>"蒋卓融"</f>
        <v>蒋卓融</v>
      </c>
      <c r="F1336" s="7" t="str">
        <f t="shared" si="317"/>
        <v>女</v>
      </c>
      <c r="G1336" s="7" t="s">
        <v>1197</v>
      </c>
      <c r="H1336" s="8"/>
    </row>
    <row r="1337" ht="25" customHeight="1" spans="1:8">
      <c r="A1337" s="6">
        <v>1335</v>
      </c>
      <c r="B1337" s="7" t="str">
        <f t="shared" si="315"/>
        <v>103</v>
      </c>
      <c r="C1337" s="7" t="s">
        <v>663</v>
      </c>
      <c r="D1337" s="7" t="s">
        <v>664</v>
      </c>
      <c r="E1337" s="7" t="str">
        <f>"何俏怡"</f>
        <v>何俏怡</v>
      </c>
      <c r="F1337" s="7" t="str">
        <f t="shared" si="317"/>
        <v>女</v>
      </c>
      <c r="G1337" s="7" t="s">
        <v>1198</v>
      </c>
      <c r="H1337" s="8"/>
    </row>
    <row r="1338" ht="25" customHeight="1" spans="1:8">
      <c r="A1338" s="6">
        <v>1336</v>
      </c>
      <c r="B1338" s="7" t="str">
        <f t="shared" si="315"/>
        <v>103</v>
      </c>
      <c r="C1338" s="7" t="s">
        <v>663</v>
      </c>
      <c r="D1338" s="7" t="s">
        <v>664</v>
      </c>
      <c r="E1338" s="7" t="str">
        <f>"麦民鉴"</f>
        <v>麦民鉴</v>
      </c>
      <c r="F1338" s="7" t="str">
        <f t="shared" si="318"/>
        <v>男</v>
      </c>
      <c r="G1338" s="7" t="s">
        <v>1199</v>
      </c>
      <c r="H1338" s="8"/>
    </row>
    <row r="1339" ht="25" customHeight="1" spans="1:8">
      <c r="A1339" s="6">
        <v>1337</v>
      </c>
      <c r="B1339" s="7" t="str">
        <f t="shared" si="315"/>
        <v>103</v>
      </c>
      <c r="C1339" s="7" t="s">
        <v>663</v>
      </c>
      <c r="D1339" s="7" t="s">
        <v>664</v>
      </c>
      <c r="E1339" s="7" t="str">
        <f>"李瑞"</f>
        <v>李瑞</v>
      </c>
      <c r="F1339" s="7" t="str">
        <f t="shared" ref="F1339:F1341" si="319">"女"</f>
        <v>女</v>
      </c>
      <c r="G1339" s="7" t="s">
        <v>1200</v>
      </c>
      <c r="H1339" s="8"/>
    </row>
    <row r="1340" ht="25" customHeight="1" spans="1:8">
      <c r="A1340" s="6">
        <v>1338</v>
      </c>
      <c r="B1340" s="7" t="str">
        <f t="shared" si="315"/>
        <v>103</v>
      </c>
      <c r="C1340" s="7" t="s">
        <v>663</v>
      </c>
      <c r="D1340" s="7" t="s">
        <v>664</v>
      </c>
      <c r="E1340" s="7" t="str">
        <f>"李路雨"</f>
        <v>李路雨</v>
      </c>
      <c r="F1340" s="7" t="str">
        <f t="shared" si="319"/>
        <v>女</v>
      </c>
      <c r="G1340" s="7" t="s">
        <v>1201</v>
      </c>
      <c r="H1340" s="8"/>
    </row>
    <row r="1341" ht="25" customHeight="1" spans="1:8">
      <c r="A1341" s="6">
        <v>1339</v>
      </c>
      <c r="B1341" s="7" t="str">
        <f t="shared" si="315"/>
        <v>103</v>
      </c>
      <c r="C1341" s="7" t="s">
        <v>663</v>
      </c>
      <c r="D1341" s="7" t="s">
        <v>664</v>
      </c>
      <c r="E1341" s="7" t="str">
        <f>"符桂芳"</f>
        <v>符桂芳</v>
      </c>
      <c r="F1341" s="7" t="str">
        <f t="shared" si="319"/>
        <v>女</v>
      </c>
      <c r="G1341" s="7" t="s">
        <v>1202</v>
      </c>
      <c r="H1341" s="8"/>
    </row>
    <row r="1342" ht="25" customHeight="1" spans="1:8">
      <c r="A1342" s="6">
        <v>1340</v>
      </c>
      <c r="B1342" s="7" t="str">
        <f t="shared" si="315"/>
        <v>103</v>
      </c>
      <c r="C1342" s="7" t="s">
        <v>663</v>
      </c>
      <c r="D1342" s="7" t="s">
        <v>664</v>
      </c>
      <c r="E1342" s="7" t="str">
        <f>"严国旺"</f>
        <v>严国旺</v>
      </c>
      <c r="F1342" s="7" t="str">
        <f>"男"</f>
        <v>男</v>
      </c>
      <c r="G1342" s="7" t="s">
        <v>1203</v>
      </c>
      <c r="H1342" s="8"/>
    </row>
    <row r="1343" ht="25" customHeight="1" spans="1:8">
      <c r="A1343" s="6">
        <v>1341</v>
      </c>
      <c r="B1343" s="7" t="str">
        <f t="shared" si="315"/>
        <v>103</v>
      </c>
      <c r="C1343" s="7" t="s">
        <v>663</v>
      </c>
      <c r="D1343" s="7" t="s">
        <v>664</v>
      </c>
      <c r="E1343" s="7" t="str">
        <f>"常梦涵"</f>
        <v>常梦涵</v>
      </c>
      <c r="F1343" s="7" t="str">
        <f t="shared" ref="F1343:F1345" si="320">"女"</f>
        <v>女</v>
      </c>
      <c r="G1343" s="7" t="s">
        <v>1204</v>
      </c>
      <c r="H1343" s="8"/>
    </row>
    <row r="1344" ht="25" customHeight="1" spans="1:8">
      <c r="A1344" s="6">
        <v>1342</v>
      </c>
      <c r="B1344" s="7" t="str">
        <f t="shared" si="315"/>
        <v>103</v>
      </c>
      <c r="C1344" s="7" t="s">
        <v>663</v>
      </c>
      <c r="D1344" s="7" t="s">
        <v>664</v>
      </c>
      <c r="E1344" s="7" t="str">
        <f>"钟秋怀"</f>
        <v>钟秋怀</v>
      </c>
      <c r="F1344" s="7" t="str">
        <f t="shared" si="320"/>
        <v>女</v>
      </c>
      <c r="G1344" s="7" t="s">
        <v>1205</v>
      </c>
      <c r="H1344" s="8"/>
    </row>
    <row r="1345" ht="25" customHeight="1" spans="1:8">
      <c r="A1345" s="6">
        <v>1343</v>
      </c>
      <c r="B1345" s="7" t="str">
        <f t="shared" si="315"/>
        <v>103</v>
      </c>
      <c r="C1345" s="7" t="s">
        <v>663</v>
      </c>
      <c r="D1345" s="7" t="s">
        <v>664</v>
      </c>
      <c r="E1345" s="7" t="str">
        <f>"黄诗倪"</f>
        <v>黄诗倪</v>
      </c>
      <c r="F1345" s="7" t="str">
        <f t="shared" si="320"/>
        <v>女</v>
      </c>
      <c r="G1345" s="7" t="s">
        <v>1084</v>
      </c>
      <c r="H1345" s="8"/>
    </row>
    <row r="1346" ht="25" customHeight="1" spans="1:8">
      <c r="A1346" s="6">
        <v>1344</v>
      </c>
      <c r="B1346" s="7" t="str">
        <f t="shared" si="315"/>
        <v>103</v>
      </c>
      <c r="C1346" s="7" t="s">
        <v>663</v>
      </c>
      <c r="D1346" s="7" t="s">
        <v>664</v>
      </c>
      <c r="E1346" s="7" t="str">
        <f>"陈宗旺"</f>
        <v>陈宗旺</v>
      </c>
      <c r="F1346" s="7" t="str">
        <f>"男"</f>
        <v>男</v>
      </c>
      <c r="G1346" s="7" t="s">
        <v>1206</v>
      </c>
      <c r="H1346" s="8"/>
    </row>
    <row r="1347" ht="25" customHeight="1" spans="1:8">
      <c r="A1347" s="6">
        <v>1345</v>
      </c>
      <c r="B1347" s="7" t="str">
        <f t="shared" si="315"/>
        <v>103</v>
      </c>
      <c r="C1347" s="7" t="s">
        <v>663</v>
      </c>
      <c r="D1347" s="7" t="s">
        <v>664</v>
      </c>
      <c r="E1347" s="7" t="str">
        <f>"邱惠芳"</f>
        <v>邱惠芳</v>
      </c>
      <c r="F1347" s="7" t="str">
        <f t="shared" ref="F1347:F1352" si="321">"女"</f>
        <v>女</v>
      </c>
      <c r="G1347" s="7" t="s">
        <v>65</v>
      </c>
      <c r="H1347" s="8"/>
    </row>
    <row r="1348" ht="25" customHeight="1" spans="1:8">
      <c r="A1348" s="6">
        <v>1346</v>
      </c>
      <c r="B1348" s="7" t="str">
        <f t="shared" si="315"/>
        <v>103</v>
      </c>
      <c r="C1348" s="7" t="s">
        <v>663</v>
      </c>
      <c r="D1348" s="7" t="s">
        <v>664</v>
      </c>
      <c r="E1348" s="7" t="str">
        <f>"范颜"</f>
        <v>范颜</v>
      </c>
      <c r="F1348" s="7" t="str">
        <f t="shared" si="321"/>
        <v>女</v>
      </c>
      <c r="G1348" s="7" t="s">
        <v>299</v>
      </c>
      <c r="H1348" s="8"/>
    </row>
    <row r="1349" ht="25" customHeight="1" spans="1:8">
      <c r="A1349" s="6">
        <v>1347</v>
      </c>
      <c r="B1349" s="7" t="str">
        <f t="shared" si="315"/>
        <v>103</v>
      </c>
      <c r="C1349" s="7" t="s">
        <v>663</v>
      </c>
      <c r="D1349" s="7" t="s">
        <v>664</v>
      </c>
      <c r="E1349" s="7" t="str">
        <f>"周豪"</f>
        <v>周豪</v>
      </c>
      <c r="F1349" s="7" t="str">
        <f>"男"</f>
        <v>男</v>
      </c>
      <c r="G1349" s="7" t="s">
        <v>1207</v>
      </c>
      <c r="H1349" s="8"/>
    </row>
    <row r="1350" ht="25" customHeight="1" spans="1:8">
      <c r="A1350" s="6">
        <v>1348</v>
      </c>
      <c r="B1350" s="7" t="str">
        <f t="shared" si="315"/>
        <v>103</v>
      </c>
      <c r="C1350" s="7" t="s">
        <v>663</v>
      </c>
      <c r="D1350" s="7" t="s">
        <v>664</v>
      </c>
      <c r="E1350" s="7" t="str">
        <f>"廖海连"</f>
        <v>廖海连</v>
      </c>
      <c r="F1350" s="7" t="str">
        <f t="shared" si="321"/>
        <v>女</v>
      </c>
      <c r="G1350" s="7" t="s">
        <v>334</v>
      </c>
      <c r="H1350" s="8"/>
    </row>
    <row r="1351" ht="25" customHeight="1" spans="1:8">
      <c r="A1351" s="6">
        <v>1349</v>
      </c>
      <c r="B1351" s="7" t="str">
        <f t="shared" si="315"/>
        <v>103</v>
      </c>
      <c r="C1351" s="7" t="s">
        <v>663</v>
      </c>
      <c r="D1351" s="7" t="s">
        <v>664</v>
      </c>
      <c r="E1351" s="7" t="str">
        <f>"林嘉嘉"</f>
        <v>林嘉嘉</v>
      </c>
      <c r="F1351" s="7" t="str">
        <f t="shared" si="321"/>
        <v>女</v>
      </c>
      <c r="G1351" s="7" t="s">
        <v>1208</v>
      </c>
      <c r="H1351" s="8"/>
    </row>
    <row r="1352" ht="25" customHeight="1" spans="1:8">
      <c r="A1352" s="6">
        <v>1350</v>
      </c>
      <c r="B1352" s="7" t="str">
        <f t="shared" si="315"/>
        <v>103</v>
      </c>
      <c r="C1352" s="7" t="s">
        <v>663</v>
      </c>
      <c r="D1352" s="7" t="s">
        <v>664</v>
      </c>
      <c r="E1352" s="7" t="str">
        <f>"何慧萍"</f>
        <v>何慧萍</v>
      </c>
      <c r="F1352" s="7" t="str">
        <f t="shared" si="321"/>
        <v>女</v>
      </c>
      <c r="G1352" s="7" t="s">
        <v>1209</v>
      </c>
      <c r="H1352" s="8"/>
    </row>
    <row r="1353" ht="25" customHeight="1" spans="1:8">
      <c r="A1353" s="6">
        <v>1351</v>
      </c>
      <c r="B1353" s="7" t="str">
        <f t="shared" si="315"/>
        <v>103</v>
      </c>
      <c r="C1353" s="7" t="s">
        <v>663</v>
      </c>
      <c r="D1353" s="7" t="s">
        <v>664</v>
      </c>
      <c r="E1353" s="7" t="str">
        <f>"郑丕特"</f>
        <v>郑丕特</v>
      </c>
      <c r="F1353" s="7" t="str">
        <f t="shared" ref="F1353:F1357" si="322">"男"</f>
        <v>男</v>
      </c>
      <c r="G1353" s="7" t="s">
        <v>1210</v>
      </c>
      <c r="H1353" s="8"/>
    </row>
    <row r="1354" ht="25" customHeight="1" spans="1:8">
      <c r="A1354" s="6">
        <v>1352</v>
      </c>
      <c r="B1354" s="7" t="str">
        <f t="shared" si="315"/>
        <v>103</v>
      </c>
      <c r="C1354" s="7" t="s">
        <v>663</v>
      </c>
      <c r="D1354" s="7" t="s">
        <v>664</v>
      </c>
      <c r="E1354" s="7" t="str">
        <f>"杨青璇"</f>
        <v>杨青璇</v>
      </c>
      <c r="F1354" s="7" t="str">
        <f t="shared" ref="F1354:F1365" si="323">"女"</f>
        <v>女</v>
      </c>
      <c r="G1354" s="7" t="s">
        <v>1211</v>
      </c>
      <c r="H1354" s="8"/>
    </row>
    <row r="1355" ht="25" customHeight="1" spans="1:8">
      <c r="A1355" s="6">
        <v>1353</v>
      </c>
      <c r="B1355" s="7" t="str">
        <f t="shared" si="315"/>
        <v>103</v>
      </c>
      <c r="C1355" s="7" t="s">
        <v>663</v>
      </c>
      <c r="D1355" s="7" t="s">
        <v>664</v>
      </c>
      <c r="E1355" s="7" t="str">
        <f>"张璐"</f>
        <v>张璐</v>
      </c>
      <c r="F1355" s="7" t="str">
        <f t="shared" si="323"/>
        <v>女</v>
      </c>
      <c r="G1355" s="7" t="s">
        <v>1212</v>
      </c>
      <c r="H1355" s="8"/>
    </row>
    <row r="1356" ht="25" customHeight="1" spans="1:8">
      <c r="A1356" s="6">
        <v>1354</v>
      </c>
      <c r="B1356" s="7" t="str">
        <f t="shared" si="315"/>
        <v>103</v>
      </c>
      <c r="C1356" s="7" t="s">
        <v>663</v>
      </c>
      <c r="D1356" s="7" t="s">
        <v>664</v>
      </c>
      <c r="E1356" s="7" t="str">
        <f>"文家迅"</f>
        <v>文家迅</v>
      </c>
      <c r="F1356" s="7" t="str">
        <f t="shared" si="322"/>
        <v>男</v>
      </c>
      <c r="G1356" s="7" t="s">
        <v>1213</v>
      </c>
      <c r="H1356" s="8"/>
    </row>
    <row r="1357" ht="25" customHeight="1" spans="1:8">
      <c r="A1357" s="6">
        <v>1355</v>
      </c>
      <c r="B1357" s="7" t="str">
        <f t="shared" si="315"/>
        <v>103</v>
      </c>
      <c r="C1357" s="7" t="s">
        <v>663</v>
      </c>
      <c r="D1357" s="7" t="s">
        <v>664</v>
      </c>
      <c r="E1357" s="7" t="str">
        <f>"王楷杰"</f>
        <v>王楷杰</v>
      </c>
      <c r="F1357" s="7" t="str">
        <f t="shared" si="322"/>
        <v>男</v>
      </c>
      <c r="G1357" s="7" t="s">
        <v>358</v>
      </c>
      <c r="H1357" s="8"/>
    </row>
    <row r="1358" ht="25" customHeight="1" spans="1:8">
      <c r="A1358" s="6">
        <v>1356</v>
      </c>
      <c r="B1358" s="7" t="str">
        <f t="shared" si="315"/>
        <v>103</v>
      </c>
      <c r="C1358" s="7" t="s">
        <v>663</v>
      </c>
      <c r="D1358" s="7" t="s">
        <v>664</v>
      </c>
      <c r="E1358" s="7" t="str">
        <f>"句秋晨"</f>
        <v>句秋晨</v>
      </c>
      <c r="F1358" s="7" t="str">
        <f t="shared" si="323"/>
        <v>女</v>
      </c>
      <c r="G1358" s="7" t="s">
        <v>1214</v>
      </c>
      <c r="H1358" s="8"/>
    </row>
    <row r="1359" ht="25" customHeight="1" spans="1:8">
      <c r="A1359" s="6">
        <v>1357</v>
      </c>
      <c r="B1359" s="7" t="str">
        <f t="shared" si="315"/>
        <v>103</v>
      </c>
      <c r="C1359" s="7" t="s">
        <v>663</v>
      </c>
      <c r="D1359" s="7" t="s">
        <v>664</v>
      </c>
      <c r="E1359" s="7" t="str">
        <f>"符雅婧"</f>
        <v>符雅婧</v>
      </c>
      <c r="F1359" s="7" t="str">
        <f t="shared" si="323"/>
        <v>女</v>
      </c>
      <c r="G1359" s="7" t="s">
        <v>618</v>
      </c>
      <c r="H1359" s="8"/>
    </row>
    <row r="1360" ht="25" customHeight="1" spans="1:8">
      <c r="A1360" s="6">
        <v>1358</v>
      </c>
      <c r="B1360" s="7" t="str">
        <f t="shared" si="315"/>
        <v>103</v>
      </c>
      <c r="C1360" s="7" t="s">
        <v>663</v>
      </c>
      <c r="D1360" s="7" t="s">
        <v>664</v>
      </c>
      <c r="E1360" s="7" t="str">
        <f>"陈初妮"</f>
        <v>陈初妮</v>
      </c>
      <c r="F1360" s="7" t="str">
        <f t="shared" si="323"/>
        <v>女</v>
      </c>
      <c r="G1360" s="7" t="s">
        <v>189</v>
      </c>
      <c r="H1360" s="8"/>
    </row>
    <row r="1361" ht="25" customHeight="1" spans="1:8">
      <c r="A1361" s="6">
        <v>1359</v>
      </c>
      <c r="B1361" s="7" t="str">
        <f t="shared" si="315"/>
        <v>103</v>
      </c>
      <c r="C1361" s="7" t="s">
        <v>663</v>
      </c>
      <c r="D1361" s="7" t="s">
        <v>664</v>
      </c>
      <c r="E1361" s="7" t="str">
        <f>"李莉"</f>
        <v>李莉</v>
      </c>
      <c r="F1361" s="7" t="str">
        <f t="shared" si="323"/>
        <v>女</v>
      </c>
      <c r="G1361" s="7" t="s">
        <v>1215</v>
      </c>
      <c r="H1361" s="8"/>
    </row>
    <row r="1362" ht="25" customHeight="1" spans="1:8">
      <c r="A1362" s="6">
        <v>1360</v>
      </c>
      <c r="B1362" s="7" t="str">
        <f t="shared" si="315"/>
        <v>103</v>
      </c>
      <c r="C1362" s="7" t="s">
        <v>663</v>
      </c>
      <c r="D1362" s="7" t="s">
        <v>664</v>
      </c>
      <c r="E1362" s="7" t="str">
        <f>"刘善怡"</f>
        <v>刘善怡</v>
      </c>
      <c r="F1362" s="7" t="str">
        <f t="shared" si="323"/>
        <v>女</v>
      </c>
      <c r="G1362" s="7" t="s">
        <v>1216</v>
      </c>
      <c r="H1362" s="8"/>
    </row>
    <row r="1363" ht="25" customHeight="1" spans="1:8">
      <c r="A1363" s="6">
        <v>1361</v>
      </c>
      <c r="B1363" s="7" t="str">
        <f t="shared" si="315"/>
        <v>103</v>
      </c>
      <c r="C1363" s="7" t="s">
        <v>663</v>
      </c>
      <c r="D1363" s="7" t="s">
        <v>664</v>
      </c>
      <c r="E1363" s="7" t="str">
        <f>"陈柳屹"</f>
        <v>陈柳屹</v>
      </c>
      <c r="F1363" s="7" t="str">
        <f t="shared" si="323"/>
        <v>女</v>
      </c>
      <c r="G1363" s="7" t="s">
        <v>1217</v>
      </c>
      <c r="H1363" s="8"/>
    </row>
    <row r="1364" ht="25" customHeight="1" spans="1:8">
      <c r="A1364" s="6">
        <v>1362</v>
      </c>
      <c r="B1364" s="7" t="str">
        <f t="shared" si="315"/>
        <v>103</v>
      </c>
      <c r="C1364" s="7" t="s">
        <v>663</v>
      </c>
      <c r="D1364" s="7" t="s">
        <v>664</v>
      </c>
      <c r="E1364" s="7" t="str">
        <f>"王丽菲"</f>
        <v>王丽菲</v>
      </c>
      <c r="F1364" s="7" t="str">
        <f t="shared" si="323"/>
        <v>女</v>
      </c>
      <c r="G1364" s="7" t="s">
        <v>1218</v>
      </c>
      <c r="H1364" s="8"/>
    </row>
    <row r="1365" ht="25" customHeight="1" spans="1:8">
      <c r="A1365" s="6">
        <v>1363</v>
      </c>
      <c r="B1365" s="7" t="str">
        <f t="shared" si="315"/>
        <v>103</v>
      </c>
      <c r="C1365" s="7" t="s">
        <v>663</v>
      </c>
      <c r="D1365" s="7" t="s">
        <v>664</v>
      </c>
      <c r="E1365" s="7" t="str">
        <f>"袁娜"</f>
        <v>袁娜</v>
      </c>
      <c r="F1365" s="7" t="str">
        <f t="shared" si="323"/>
        <v>女</v>
      </c>
      <c r="G1365" s="7" t="s">
        <v>172</v>
      </c>
      <c r="H1365" s="8"/>
    </row>
    <row r="1366" ht="25" customHeight="1" spans="1:8">
      <c r="A1366" s="6">
        <v>1364</v>
      </c>
      <c r="B1366" s="7" t="str">
        <f t="shared" si="315"/>
        <v>103</v>
      </c>
      <c r="C1366" s="7" t="s">
        <v>663</v>
      </c>
      <c r="D1366" s="7" t="s">
        <v>664</v>
      </c>
      <c r="E1366" s="7" t="str">
        <f>"麦秋强"</f>
        <v>麦秋强</v>
      </c>
      <c r="F1366" s="7" t="str">
        <f>"男"</f>
        <v>男</v>
      </c>
      <c r="G1366" s="7" t="s">
        <v>1219</v>
      </c>
      <c r="H1366" s="8"/>
    </row>
    <row r="1367" ht="25" customHeight="1" spans="1:8">
      <c r="A1367" s="6">
        <v>1365</v>
      </c>
      <c r="B1367" s="7" t="str">
        <f t="shared" si="315"/>
        <v>103</v>
      </c>
      <c r="C1367" s="7" t="s">
        <v>663</v>
      </c>
      <c r="D1367" s="7" t="s">
        <v>664</v>
      </c>
      <c r="E1367" s="7" t="str">
        <f>"汤思仪"</f>
        <v>汤思仪</v>
      </c>
      <c r="F1367" s="7" t="str">
        <f t="shared" ref="F1367:F1371" si="324">"女"</f>
        <v>女</v>
      </c>
      <c r="G1367" s="7" t="s">
        <v>1220</v>
      </c>
      <c r="H1367" s="8"/>
    </row>
    <row r="1368" ht="25" customHeight="1" spans="1:8">
      <c r="A1368" s="6">
        <v>1366</v>
      </c>
      <c r="B1368" s="7" t="str">
        <f t="shared" si="315"/>
        <v>103</v>
      </c>
      <c r="C1368" s="7" t="s">
        <v>663</v>
      </c>
      <c r="D1368" s="7" t="s">
        <v>664</v>
      </c>
      <c r="E1368" s="7" t="str">
        <f>"周畅"</f>
        <v>周畅</v>
      </c>
      <c r="F1368" s="7" t="str">
        <f t="shared" ref="F1368:F1373" si="325">"男"</f>
        <v>男</v>
      </c>
      <c r="G1368" s="7" t="s">
        <v>639</v>
      </c>
      <c r="H1368" s="8"/>
    </row>
    <row r="1369" ht="25" customHeight="1" spans="1:8">
      <c r="A1369" s="6">
        <v>1367</v>
      </c>
      <c r="B1369" s="7" t="str">
        <f t="shared" si="315"/>
        <v>103</v>
      </c>
      <c r="C1369" s="7" t="s">
        <v>663</v>
      </c>
      <c r="D1369" s="7" t="s">
        <v>664</v>
      </c>
      <c r="E1369" s="7" t="str">
        <f>"吴芳怡"</f>
        <v>吴芳怡</v>
      </c>
      <c r="F1369" s="7" t="str">
        <f t="shared" si="324"/>
        <v>女</v>
      </c>
      <c r="G1369" s="7" t="s">
        <v>1221</v>
      </c>
      <c r="H1369" s="8"/>
    </row>
    <row r="1370" ht="25" customHeight="1" spans="1:8">
      <c r="A1370" s="6">
        <v>1368</v>
      </c>
      <c r="B1370" s="7" t="str">
        <f t="shared" si="315"/>
        <v>103</v>
      </c>
      <c r="C1370" s="7" t="s">
        <v>663</v>
      </c>
      <c r="D1370" s="7" t="s">
        <v>664</v>
      </c>
      <c r="E1370" s="7" t="str">
        <f>"陈斐斐"</f>
        <v>陈斐斐</v>
      </c>
      <c r="F1370" s="7" t="str">
        <f t="shared" si="324"/>
        <v>女</v>
      </c>
      <c r="G1370" s="7" t="s">
        <v>147</v>
      </c>
      <c r="H1370" s="8"/>
    </row>
    <row r="1371" ht="25" customHeight="1" spans="1:8">
      <c r="A1371" s="6">
        <v>1369</v>
      </c>
      <c r="B1371" s="7" t="str">
        <f t="shared" si="315"/>
        <v>103</v>
      </c>
      <c r="C1371" s="7" t="s">
        <v>663</v>
      </c>
      <c r="D1371" s="7" t="s">
        <v>664</v>
      </c>
      <c r="E1371" s="7" t="str">
        <f>"胡翼琴"</f>
        <v>胡翼琴</v>
      </c>
      <c r="F1371" s="7" t="str">
        <f t="shared" si="324"/>
        <v>女</v>
      </c>
      <c r="G1371" s="7" t="s">
        <v>1222</v>
      </c>
      <c r="H1371" s="8"/>
    </row>
    <row r="1372" ht="25" customHeight="1" spans="1:8">
      <c r="A1372" s="6">
        <v>1370</v>
      </c>
      <c r="B1372" s="7" t="str">
        <f t="shared" si="315"/>
        <v>103</v>
      </c>
      <c r="C1372" s="7" t="s">
        <v>663</v>
      </c>
      <c r="D1372" s="7" t="s">
        <v>664</v>
      </c>
      <c r="E1372" s="7" t="str">
        <f>"麦业伟"</f>
        <v>麦业伟</v>
      </c>
      <c r="F1372" s="7" t="str">
        <f t="shared" si="325"/>
        <v>男</v>
      </c>
      <c r="G1372" s="7" t="s">
        <v>120</v>
      </c>
      <c r="H1372" s="8"/>
    </row>
    <row r="1373" ht="25" customHeight="1" spans="1:8">
      <c r="A1373" s="6">
        <v>1371</v>
      </c>
      <c r="B1373" s="7" t="str">
        <f t="shared" si="315"/>
        <v>103</v>
      </c>
      <c r="C1373" s="7" t="s">
        <v>663</v>
      </c>
      <c r="D1373" s="7" t="s">
        <v>664</v>
      </c>
      <c r="E1373" s="7" t="str">
        <f>"胡家德"</f>
        <v>胡家德</v>
      </c>
      <c r="F1373" s="7" t="str">
        <f t="shared" si="325"/>
        <v>男</v>
      </c>
      <c r="G1373" s="7" t="s">
        <v>1223</v>
      </c>
      <c r="H1373" s="8"/>
    </row>
    <row r="1374" ht="25" customHeight="1" spans="1:8">
      <c r="A1374" s="6">
        <v>1372</v>
      </c>
      <c r="B1374" s="7" t="str">
        <f t="shared" si="315"/>
        <v>103</v>
      </c>
      <c r="C1374" s="7" t="s">
        <v>663</v>
      </c>
      <c r="D1374" s="7" t="s">
        <v>664</v>
      </c>
      <c r="E1374" s="7" t="str">
        <f>"张羚瑾"</f>
        <v>张羚瑾</v>
      </c>
      <c r="F1374" s="7" t="str">
        <f t="shared" ref="F1374:F1376" si="326">"女"</f>
        <v>女</v>
      </c>
      <c r="G1374" s="7" t="s">
        <v>1224</v>
      </c>
      <c r="H1374" s="8"/>
    </row>
    <row r="1375" ht="25" customHeight="1" spans="1:8">
      <c r="A1375" s="6">
        <v>1373</v>
      </c>
      <c r="B1375" s="7" t="str">
        <f t="shared" si="315"/>
        <v>103</v>
      </c>
      <c r="C1375" s="7" t="s">
        <v>663</v>
      </c>
      <c r="D1375" s="7" t="s">
        <v>664</v>
      </c>
      <c r="E1375" s="7" t="str">
        <f>"蔡安娜"</f>
        <v>蔡安娜</v>
      </c>
      <c r="F1375" s="7" t="str">
        <f t="shared" si="326"/>
        <v>女</v>
      </c>
      <c r="G1375" s="7" t="s">
        <v>748</v>
      </c>
      <c r="H1375" s="8"/>
    </row>
    <row r="1376" ht="25" customHeight="1" spans="1:8">
      <c r="A1376" s="6">
        <v>1374</v>
      </c>
      <c r="B1376" s="7" t="str">
        <f t="shared" si="315"/>
        <v>103</v>
      </c>
      <c r="C1376" s="7" t="s">
        <v>663</v>
      </c>
      <c r="D1376" s="7" t="s">
        <v>664</v>
      </c>
      <c r="E1376" s="7" t="str">
        <f>"陈丁盈"</f>
        <v>陈丁盈</v>
      </c>
      <c r="F1376" s="7" t="str">
        <f t="shared" si="326"/>
        <v>女</v>
      </c>
      <c r="G1376" s="7" t="s">
        <v>1225</v>
      </c>
      <c r="H1376" s="8"/>
    </row>
    <row r="1377" ht="25" customHeight="1" spans="1:8">
      <c r="A1377" s="6">
        <v>1375</v>
      </c>
      <c r="B1377" s="7" t="str">
        <f t="shared" si="315"/>
        <v>103</v>
      </c>
      <c r="C1377" s="7" t="s">
        <v>663</v>
      </c>
      <c r="D1377" s="7" t="s">
        <v>664</v>
      </c>
      <c r="E1377" s="7" t="str">
        <f>"张梦奎"</f>
        <v>张梦奎</v>
      </c>
      <c r="F1377" s="7" t="str">
        <f t="shared" ref="F1377:F1380" si="327">"男"</f>
        <v>男</v>
      </c>
      <c r="G1377" s="7" t="s">
        <v>1226</v>
      </c>
      <c r="H1377" s="8"/>
    </row>
    <row r="1378" ht="25" customHeight="1" spans="1:8">
      <c r="A1378" s="6">
        <v>1376</v>
      </c>
      <c r="B1378" s="7" t="str">
        <f t="shared" si="315"/>
        <v>103</v>
      </c>
      <c r="C1378" s="7" t="s">
        <v>663</v>
      </c>
      <c r="D1378" s="7" t="s">
        <v>664</v>
      </c>
      <c r="E1378" s="7" t="str">
        <f>"赵秋梦"</f>
        <v>赵秋梦</v>
      </c>
      <c r="F1378" s="7" t="str">
        <f>"女"</f>
        <v>女</v>
      </c>
      <c r="G1378" s="7" t="s">
        <v>1227</v>
      </c>
      <c r="H1378" s="8"/>
    </row>
    <row r="1379" ht="25" customHeight="1" spans="1:8">
      <c r="A1379" s="6">
        <v>1377</v>
      </c>
      <c r="B1379" s="7" t="str">
        <f t="shared" si="315"/>
        <v>103</v>
      </c>
      <c r="C1379" s="7" t="s">
        <v>663</v>
      </c>
      <c r="D1379" s="7" t="s">
        <v>664</v>
      </c>
      <c r="E1379" s="7" t="str">
        <f>"唐煌"</f>
        <v>唐煌</v>
      </c>
      <c r="F1379" s="7" t="str">
        <f t="shared" si="327"/>
        <v>男</v>
      </c>
      <c r="G1379" s="7" t="s">
        <v>1228</v>
      </c>
      <c r="H1379" s="8"/>
    </row>
    <row r="1380" ht="25" customHeight="1" spans="1:8">
      <c r="A1380" s="6">
        <v>1378</v>
      </c>
      <c r="B1380" s="7" t="str">
        <f t="shared" si="315"/>
        <v>103</v>
      </c>
      <c r="C1380" s="7" t="s">
        <v>663</v>
      </c>
      <c r="D1380" s="7" t="s">
        <v>664</v>
      </c>
      <c r="E1380" s="7" t="str">
        <f>"李才政"</f>
        <v>李才政</v>
      </c>
      <c r="F1380" s="7" t="str">
        <f t="shared" si="327"/>
        <v>男</v>
      </c>
      <c r="G1380" s="7" t="s">
        <v>1229</v>
      </c>
      <c r="H1380" s="8"/>
    </row>
    <row r="1381" ht="25" customHeight="1" spans="1:8">
      <c r="A1381" s="6">
        <v>1379</v>
      </c>
      <c r="B1381" s="7" t="str">
        <f t="shared" si="315"/>
        <v>103</v>
      </c>
      <c r="C1381" s="7" t="s">
        <v>663</v>
      </c>
      <c r="D1381" s="7" t="s">
        <v>664</v>
      </c>
      <c r="E1381" s="7" t="str">
        <f>"王佳佳"</f>
        <v>王佳佳</v>
      </c>
      <c r="F1381" s="7" t="str">
        <f t="shared" ref="F1381:F1386" si="328">"女"</f>
        <v>女</v>
      </c>
      <c r="G1381" s="7" t="s">
        <v>1230</v>
      </c>
      <c r="H1381" s="8"/>
    </row>
    <row r="1382" ht="25" customHeight="1" spans="1:8">
      <c r="A1382" s="6">
        <v>1380</v>
      </c>
      <c r="B1382" s="7" t="str">
        <f t="shared" si="315"/>
        <v>103</v>
      </c>
      <c r="C1382" s="7" t="s">
        <v>663</v>
      </c>
      <c r="D1382" s="7" t="s">
        <v>664</v>
      </c>
      <c r="E1382" s="7" t="str">
        <f>"吴桐"</f>
        <v>吴桐</v>
      </c>
      <c r="F1382" s="7" t="str">
        <f t="shared" ref="F1382:F1387" si="329">"男"</f>
        <v>男</v>
      </c>
      <c r="G1382" s="7" t="s">
        <v>1231</v>
      </c>
      <c r="H1382" s="8"/>
    </row>
    <row r="1383" ht="25" customHeight="1" spans="1:8">
      <c r="A1383" s="6">
        <v>1381</v>
      </c>
      <c r="B1383" s="7" t="str">
        <f t="shared" si="315"/>
        <v>103</v>
      </c>
      <c r="C1383" s="7" t="s">
        <v>663</v>
      </c>
      <c r="D1383" s="7" t="s">
        <v>664</v>
      </c>
      <c r="E1383" s="7" t="str">
        <f>"潘正勤"</f>
        <v>潘正勤</v>
      </c>
      <c r="F1383" s="7" t="str">
        <f t="shared" si="329"/>
        <v>男</v>
      </c>
      <c r="G1383" s="7" t="s">
        <v>1232</v>
      </c>
      <c r="H1383" s="8"/>
    </row>
    <row r="1384" ht="25" customHeight="1" spans="1:8">
      <c r="A1384" s="6">
        <v>1382</v>
      </c>
      <c r="B1384" s="7" t="str">
        <f t="shared" ref="B1384:B1447" si="330">"103"</f>
        <v>103</v>
      </c>
      <c r="C1384" s="7" t="s">
        <v>663</v>
      </c>
      <c r="D1384" s="7" t="s">
        <v>664</v>
      </c>
      <c r="E1384" s="7" t="str">
        <f>"文常秋"</f>
        <v>文常秋</v>
      </c>
      <c r="F1384" s="7" t="str">
        <f t="shared" si="328"/>
        <v>女</v>
      </c>
      <c r="G1384" s="7" t="s">
        <v>1233</v>
      </c>
      <c r="H1384" s="8"/>
    </row>
    <row r="1385" ht="25" customHeight="1" spans="1:8">
      <c r="A1385" s="6">
        <v>1383</v>
      </c>
      <c r="B1385" s="7" t="str">
        <f t="shared" si="330"/>
        <v>103</v>
      </c>
      <c r="C1385" s="7" t="s">
        <v>663</v>
      </c>
      <c r="D1385" s="7" t="s">
        <v>664</v>
      </c>
      <c r="E1385" s="7" t="str">
        <f>"符金萍"</f>
        <v>符金萍</v>
      </c>
      <c r="F1385" s="7" t="str">
        <f t="shared" si="328"/>
        <v>女</v>
      </c>
      <c r="G1385" s="7" t="s">
        <v>1234</v>
      </c>
      <c r="H1385" s="8"/>
    </row>
    <row r="1386" ht="25" customHeight="1" spans="1:8">
      <c r="A1386" s="6">
        <v>1384</v>
      </c>
      <c r="B1386" s="7" t="str">
        <f t="shared" si="330"/>
        <v>103</v>
      </c>
      <c r="C1386" s="7" t="s">
        <v>663</v>
      </c>
      <c r="D1386" s="7" t="s">
        <v>664</v>
      </c>
      <c r="E1386" s="7" t="str">
        <f>"崔藉元"</f>
        <v>崔藉元</v>
      </c>
      <c r="F1386" s="7" t="str">
        <f t="shared" si="328"/>
        <v>女</v>
      </c>
      <c r="G1386" s="7" t="s">
        <v>1235</v>
      </c>
      <c r="H1386" s="8"/>
    </row>
    <row r="1387" ht="25" customHeight="1" spans="1:8">
      <c r="A1387" s="6">
        <v>1385</v>
      </c>
      <c r="B1387" s="7" t="str">
        <f t="shared" si="330"/>
        <v>103</v>
      </c>
      <c r="C1387" s="7" t="s">
        <v>663</v>
      </c>
      <c r="D1387" s="7" t="s">
        <v>664</v>
      </c>
      <c r="E1387" s="7" t="str">
        <f>"高永浩"</f>
        <v>高永浩</v>
      </c>
      <c r="F1387" s="7" t="str">
        <f t="shared" si="329"/>
        <v>男</v>
      </c>
      <c r="G1387" s="7" t="s">
        <v>1236</v>
      </c>
      <c r="H1387" s="8"/>
    </row>
    <row r="1388" ht="25" customHeight="1" spans="1:8">
      <c r="A1388" s="6">
        <v>1386</v>
      </c>
      <c r="B1388" s="7" t="str">
        <f t="shared" si="330"/>
        <v>103</v>
      </c>
      <c r="C1388" s="7" t="s">
        <v>663</v>
      </c>
      <c r="D1388" s="7" t="s">
        <v>664</v>
      </c>
      <c r="E1388" s="7" t="str">
        <f>"徐蕾"</f>
        <v>徐蕾</v>
      </c>
      <c r="F1388" s="7" t="str">
        <f t="shared" ref="F1388:F1393" si="331">"女"</f>
        <v>女</v>
      </c>
      <c r="G1388" s="7" t="s">
        <v>1237</v>
      </c>
      <c r="H1388" s="8"/>
    </row>
    <row r="1389" ht="25" customHeight="1" spans="1:8">
      <c r="A1389" s="6">
        <v>1387</v>
      </c>
      <c r="B1389" s="7" t="str">
        <f t="shared" si="330"/>
        <v>103</v>
      </c>
      <c r="C1389" s="7" t="s">
        <v>663</v>
      </c>
      <c r="D1389" s="7" t="s">
        <v>664</v>
      </c>
      <c r="E1389" s="7" t="str">
        <f>"黎秋梅"</f>
        <v>黎秋梅</v>
      </c>
      <c r="F1389" s="7" t="str">
        <f t="shared" si="331"/>
        <v>女</v>
      </c>
      <c r="G1389" s="7" t="s">
        <v>1238</v>
      </c>
      <c r="H1389" s="8"/>
    </row>
    <row r="1390" ht="25" customHeight="1" spans="1:8">
      <c r="A1390" s="6">
        <v>1388</v>
      </c>
      <c r="B1390" s="7" t="str">
        <f t="shared" si="330"/>
        <v>103</v>
      </c>
      <c r="C1390" s="7" t="s">
        <v>663</v>
      </c>
      <c r="D1390" s="7" t="s">
        <v>664</v>
      </c>
      <c r="E1390" s="7" t="str">
        <f>"伍晨昊"</f>
        <v>伍晨昊</v>
      </c>
      <c r="F1390" s="7" t="str">
        <f>"男"</f>
        <v>男</v>
      </c>
      <c r="G1390" s="7" t="s">
        <v>1239</v>
      </c>
      <c r="H1390" s="8"/>
    </row>
    <row r="1391" ht="25" customHeight="1" spans="1:8">
      <c r="A1391" s="6">
        <v>1389</v>
      </c>
      <c r="B1391" s="7" t="str">
        <f t="shared" si="330"/>
        <v>103</v>
      </c>
      <c r="C1391" s="7" t="s">
        <v>663</v>
      </c>
      <c r="D1391" s="7" t="s">
        <v>664</v>
      </c>
      <c r="E1391" s="7" t="str">
        <f>"陈进丁"</f>
        <v>陈进丁</v>
      </c>
      <c r="F1391" s="7" t="str">
        <f t="shared" si="331"/>
        <v>女</v>
      </c>
      <c r="G1391" s="7" t="s">
        <v>1240</v>
      </c>
      <c r="H1391" s="8"/>
    </row>
    <row r="1392" ht="25" customHeight="1" spans="1:8">
      <c r="A1392" s="6">
        <v>1390</v>
      </c>
      <c r="B1392" s="7" t="str">
        <f t="shared" si="330"/>
        <v>103</v>
      </c>
      <c r="C1392" s="7" t="s">
        <v>663</v>
      </c>
      <c r="D1392" s="7" t="s">
        <v>664</v>
      </c>
      <c r="E1392" s="7" t="str">
        <f>"黎玉云"</f>
        <v>黎玉云</v>
      </c>
      <c r="F1392" s="7" t="str">
        <f t="shared" si="331"/>
        <v>女</v>
      </c>
      <c r="G1392" s="7" t="s">
        <v>1241</v>
      </c>
      <c r="H1392" s="8"/>
    </row>
    <row r="1393" ht="25" customHeight="1" spans="1:8">
      <c r="A1393" s="6">
        <v>1391</v>
      </c>
      <c r="B1393" s="7" t="str">
        <f t="shared" si="330"/>
        <v>103</v>
      </c>
      <c r="C1393" s="7" t="s">
        <v>663</v>
      </c>
      <c r="D1393" s="7" t="s">
        <v>664</v>
      </c>
      <c r="E1393" s="7" t="str">
        <f>"马舒恒"</f>
        <v>马舒恒</v>
      </c>
      <c r="F1393" s="7" t="str">
        <f t="shared" si="331"/>
        <v>女</v>
      </c>
      <c r="G1393" s="7" t="s">
        <v>1242</v>
      </c>
      <c r="H1393" s="8"/>
    </row>
    <row r="1394" ht="25" customHeight="1" spans="1:8">
      <c r="A1394" s="6">
        <v>1392</v>
      </c>
      <c r="B1394" s="7" t="str">
        <f t="shared" si="330"/>
        <v>103</v>
      </c>
      <c r="C1394" s="7" t="s">
        <v>663</v>
      </c>
      <c r="D1394" s="7" t="s">
        <v>664</v>
      </c>
      <c r="E1394" s="7" t="str">
        <f>"卢大开"</f>
        <v>卢大开</v>
      </c>
      <c r="F1394" s="7" t="str">
        <f t="shared" ref="F1394:F1399" si="332">"男"</f>
        <v>男</v>
      </c>
      <c r="G1394" s="7" t="s">
        <v>1243</v>
      </c>
      <c r="H1394" s="8"/>
    </row>
    <row r="1395" ht="25" customHeight="1" spans="1:8">
      <c r="A1395" s="6">
        <v>1393</v>
      </c>
      <c r="B1395" s="7" t="str">
        <f t="shared" si="330"/>
        <v>103</v>
      </c>
      <c r="C1395" s="7" t="s">
        <v>663</v>
      </c>
      <c r="D1395" s="7" t="s">
        <v>664</v>
      </c>
      <c r="E1395" s="7" t="str">
        <f>"潘婷"</f>
        <v>潘婷</v>
      </c>
      <c r="F1395" s="7" t="str">
        <f t="shared" ref="F1395:F1400" si="333">"女"</f>
        <v>女</v>
      </c>
      <c r="G1395" s="7" t="s">
        <v>1198</v>
      </c>
      <c r="H1395" s="8"/>
    </row>
    <row r="1396" ht="25" customHeight="1" spans="1:8">
      <c r="A1396" s="6">
        <v>1394</v>
      </c>
      <c r="B1396" s="7" t="str">
        <f t="shared" si="330"/>
        <v>103</v>
      </c>
      <c r="C1396" s="7" t="s">
        <v>663</v>
      </c>
      <c r="D1396" s="7" t="s">
        <v>664</v>
      </c>
      <c r="E1396" s="7" t="str">
        <f>"黄颖曦"</f>
        <v>黄颖曦</v>
      </c>
      <c r="F1396" s="7" t="str">
        <f t="shared" si="333"/>
        <v>女</v>
      </c>
      <c r="G1396" s="7" t="s">
        <v>1244</v>
      </c>
      <c r="H1396" s="8"/>
    </row>
    <row r="1397" ht="25" customHeight="1" spans="1:8">
      <c r="A1397" s="6">
        <v>1395</v>
      </c>
      <c r="B1397" s="7" t="str">
        <f t="shared" si="330"/>
        <v>103</v>
      </c>
      <c r="C1397" s="7" t="s">
        <v>663</v>
      </c>
      <c r="D1397" s="7" t="s">
        <v>664</v>
      </c>
      <c r="E1397" s="7" t="str">
        <f>"黄良"</f>
        <v>黄良</v>
      </c>
      <c r="F1397" s="7" t="str">
        <f t="shared" si="332"/>
        <v>男</v>
      </c>
      <c r="G1397" s="7" t="s">
        <v>1245</v>
      </c>
      <c r="H1397" s="8"/>
    </row>
    <row r="1398" ht="25" customHeight="1" spans="1:8">
      <c r="A1398" s="6">
        <v>1396</v>
      </c>
      <c r="B1398" s="7" t="str">
        <f t="shared" si="330"/>
        <v>103</v>
      </c>
      <c r="C1398" s="7" t="s">
        <v>663</v>
      </c>
      <c r="D1398" s="7" t="s">
        <v>664</v>
      </c>
      <c r="E1398" s="7" t="str">
        <f>"孙宇国"</f>
        <v>孙宇国</v>
      </c>
      <c r="F1398" s="7" t="str">
        <f t="shared" si="332"/>
        <v>男</v>
      </c>
      <c r="G1398" s="7" t="s">
        <v>1246</v>
      </c>
      <c r="H1398" s="8"/>
    </row>
    <row r="1399" ht="25" customHeight="1" spans="1:8">
      <c r="A1399" s="6">
        <v>1397</v>
      </c>
      <c r="B1399" s="7" t="str">
        <f t="shared" si="330"/>
        <v>103</v>
      </c>
      <c r="C1399" s="7" t="s">
        <v>663</v>
      </c>
      <c r="D1399" s="7" t="s">
        <v>664</v>
      </c>
      <c r="E1399" s="7" t="str">
        <f>"林尤果"</f>
        <v>林尤果</v>
      </c>
      <c r="F1399" s="7" t="str">
        <f t="shared" si="332"/>
        <v>男</v>
      </c>
      <c r="G1399" s="7" t="s">
        <v>1247</v>
      </c>
      <c r="H1399" s="8"/>
    </row>
    <row r="1400" ht="25" customHeight="1" spans="1:8">
      <c r="A1400" s="6">
        <v>1398</v>
      </c>
      <c r="B1400" s="7" t="str">
        <f t="shared" si="330"/>
        <v>103</v>
      </c>
      <c r="C1400" s="7" t="s">
        <v>663</v>
      </c>
      <c r="D1400" s="7" t="s">
        <v>664</v>
      </c>
      <c r="E1400" s="7" t="str">
        <f>"邓晰"</f>
        <v>邓晰</v>
      </c>
      <c r="F1400" s="7" t="str">
        <f t="shared" si="333"/>
        <v>女</v>
      </c>
      <c r="G1400" s="7" t="s">
        <v>1248</v>
      </c>
      <c r="H1400" s="8"/>
    </row>
    <row r="1401" ht="25" customHeight="1" spans="1:8">
      <c r="A1401" s="6">
        <v>1399</v>
      </c>
      <c r="B1401" s="7" t="str">
        <f t="shared" si="330"/>
        <v>103</v>
      </c>
      <c r="C1401" s="7" t="s">
        <v>663</v>
      </c>
      <c r="D1401" s="7" t="s">
        <v>664</v>
      </c>
      <c r="E1401" s="7" t="str">
        <f>"刘江晖"</f>
        <v>刘江晖</v>
      </c>
      <c r="F1401" s="7" t="str">
        <f t="shared" ref="F1401:F1404" si="334">"男"</f>
        <v>男</v>
      </c>
      <c r="G1401" s="7" t="s">
        <v>251</v>
      </c>
      <c r="H1401" s="8"/>
    </row>
    <row r="1402" ht="25" customHeight="1" spans="1:8">
      <c r="A1402" s="6">
        <v>1400</v>
      </c>
      <c r="B1402" s="7" t="str">
        <f t="shared" si="330"/>
        <v>103</v>
      </c>
      <c r="C1402" s="7" t="s">
        <v>663</v>
      </c>
      <c r="D1402" s="7" t="s">
        <v>664</v>
      </c>
      <c r="E1402" s="7" t="str">
        <f>"朱江伟"</f>
        <v>朱江伟</v>
      </c>
      <c r="F1402" s="7" t="str">
        <f t="shared" si="334"/>
        <v>男</v>
      </c>
      <c r="G1402" s="7" t="s">
        <v>1249</v>
      </c>
      <c r="H1402" s="8"/>
    </row>
    <row r="1403" ht="25" customHeight="1" spans="1:8">
      <c r="A1403" s="6">
        <v>1401</v>
      </c>
      <c r="B1403" s="7" t="str">
        <f t="shared" si="330"/>
        <v>103</v>
      </c>
      <c r="C1403" s="7" t="s">
        <v>663</v>
      </c>
      <c r="D1403" s="7" t="s">
        <v>664</v>
      </c>
      <c r="E1403" s="7" t="str">
        <f>"李千慧"</f>
        <v>李千慧</v>
      </c>
      <c r="F1403" s="7" t="str">
        <f t="shared" ref="F1403:F1409" si="335">"女"</f>
        <v>女</v>
      </c>
      <c r="G1403" s="7" t="s">
        <v>1250</v>
      </c>
      <c r="H1403" s="8"/>
    </row>
    <row r="1404" ht="25" customHeight="1" spans="1:8">
      <c r="A1404" s="6">
        <v>1402</v>
      </c>
      <c r="B1404" s="7" t="str">
        <f t="shared" si="330"/>
        <v>103</v>
      </c>
      <c r="C1404" s="7" t="s">
        <v>663</v>
      </c>
      <c r="D1404" s="7" t="s">
        <v>664</v>
      </c>
      <c r="E1404" s="7" t="str">
        <f>"范再卿"</f>
        <v>范再卿</v>
      </c>
      <c r="F1404" s="7" t="str">
        <f t="shared" si="334"/>
        <v>男</v>
      </c>
      <c r="G1404" s="7" t="s">
        <v>1251</v>
      </c>
      <c r="H1404" s="8"/>
    </row>
    <row r="1405" ht="25" customHeight="1" spans="1:8">
      <c r="A1405" s="6">
        <v>1403</v>
      </c>
      <c r="B1405" s="7" t="str">
        <f t="shared" si="330"/>
        <v>103</v>
      </c>
      <c r="C1405" s="7" t="s">
        <v>663</v>
      </c>
      <c r="D1405" s="7" t="s">
        <v>664</v>
      </c>
      <c r="E1405" s="7" t="str">
        <f>"黄念"</f>
        <v>黄念</v>
      </c>
      <c r="F1405" s="7" t="str">
        <f t="shared" si="335"/>
        <v>女</v>
      </c>
      <c r="G1405" s="7" t="s">
        <v>1252</v>
      </c>
      <c r="H1405" s="8"/>
    </row>
    <row r="1406" ht="25" customHeight="1" spans="1:8">
      <c r="A1406" s="6">
        <v>1404</v>
      </c>
      <c r="B1406" s="7" t="str">
        <f t="shared" si="330"/>
        <v>103</v>
      </c>
      <c r="C1406" s="7" t="s">
        <v>663</v>
      </c>
      <c r="D1406" s="7" t="s">
        <v>664</v>
      </c>
      <c r="E1406" s="7" t="str">
        <f>"张茈玲"</f>
        <v>张茈玲</v>
      </c>
      <c r="F1406" s="7" t="str">
        <f t="shared" si="335"/>
        <v>女</v>
      </c>
      <c r="G1406" s="7" t="s">
        <v>1253</v>
      </c>
      <c r="H1406" s="8"/>
    </row>
    <row r="1407" ht="25" customHeight="1" spans="1:8">
      <c r="A1407" s="6">
        <v>1405</v>
      </c>
      <c r="B1407" s="7" t="str">
        <f t="shared" si="330"/>
        <v>103</v>
      </c>
      <c r="C1407" s="7" t="s">
        <v>663</v>
      </c>
      <c r="D1407" s="7" t="s">
        <v>664</v>
      </c>
      <c r="E1407" s="7" t="str">
        <f>"陈思颖"</f>
        <v>陈思颖</v>
      </c>
      <c r="F1407" s="7" t="str">
        <f t="shared" si="335"/>
        <v>女</v>
      </c>
      <c r="G1407" s="7" t="s">
        <v>1254</v>
      </c>
      <c r="H1407" s="8"/>
    </row>
    <row r="1408" ht="25" customHeight="1" spans="1:8">
      <c r="A1408" s="6">
        <v>1406</v>
      </c>
      <c r="B1408" s="7" t="str">
        <f t="shared" si="330"/>
        <v>103</v>
      </c>
      <c r="C1408" s="7" t="s">
        <v>663</v>
      </c>
      <c r="D1408" s="7" t="s">
        <v>664</v>
      </c>
      <c r="E1408" s="7" t="str">
        <f>"张希琦"</f>
        <v>张希琦</v>
      </c>
      <c r="F1408" s="7" t="str">
        <f t="shared" si="335"/>
        <v>女</v>
      </c>
      <c r="G1408" s="7" t="s">
        <v>1255</v>
      </c>
      <c r="H1408" s="8"/>
    </row>
    <row r="1409" ht="25" customHeight="1" spans="1:8">
      <c r="A1409" s="6">
        <v>1407</v>
      </c>
      <c r="B1409" s="7" t="str">
        <f t="shared" si="330"/>
        <v>103</v>
      </c>
      <c r="C1409" s="7" t="s">
        <v>663</v>
      </c>
      <c r="D1409" s="7" t="s">
        <v>664</v>
      </c>
      <c r="E1409" s="7" t="str">
        <f>"郑茹月"</f>
        <v>郑茹月</v>
      </c>
      <c r="F1409" s="7" t="str">
        <f t="shared" si="335"/>
        <v>女</v>
      </c>
      <c r="G1409" s="7" t="s">
        <v>375</v>
      </c>
      <c r="H1409" s="8"/>
    </row>
    <row r="1410" ht="25" customHeight="1" spans="1:8">
      <c r="A1410" s="6">
        <v>1408</v>
      </c>
      <c r="B1410" s="7" t="str">
        <f t="shared" si="330"/>
        <v>103</v>
      </c>
      <c r="C1410" s="7" t="s">
        <v>663</v>
      </c>
      <c r="D1410" s="7" t="s">
        <v>664</v>
      </c>
      <c r="E1410" s="7" t="str">
        <f>"蔡世睿"</f>
        <v>蔡世睿</v>
      </c>
      <c r="F1410" s="7" t="str">
        <f t="shared" ref="F1410:F1412" si="336">"男"</f>
        <v>男</v>
      </c>
      <c r="G1410" s="7" t="s">
        <v>1256</v>
      </c>
      <c r="H1410" s="8"/>
    </row>
    <row r="1411" ht="25" customHeight="1" spans="1:8">
      <c r="A1411" s="6">
        <v>1409</v>
      </c>
      <c r="B1411" s="7" t="str">
        <f t="shared" si="330"/>
        <v>103</v>
      </c>
      <c r="C1411" s="7" t="s">
        <v>663</v>
      </c>
      <c r="D1411" s="7" t="s">
        <v>664</v>
      </c>
      <c r="E1411" s="7" t="str">
        <f>"谢岸四"</f>
        <v>谢岸四</v>
      </c>
      <c r="F1411" s="7" t="str">
        <f t="shared" si="336"/>
        <v>男</v>
      </c>
      <c r="G1411" s="7" t="s">
        <v>1257</v>
      </c>
      <c r="H1411" s="8"/>
    </row>
    <row r="1412" ht="25" customHeight="1" spans="1:8">
      <c r="A1412" s="6">
        <v>1410</v>
      </c>
      <c r="B1412" s="7" t="str">
        <f t="shared" si="330"/>
        <v>103</v>
      </c>
      <c r="C1412" s="7" t="s">
        <v>663</v>
      </c>
      <c r="D1412" s="7" t="s">
        <v>664</v>
      </c>
      <c r="E1412" s="7" t="str">
        <f>"施忠瑞"</f>
        <v>施忠瑞</v>
      </c>
      <c r="F1412" s="7" t="str">
        <f t="shared" si="336"/>
        <v>男</v>
      </c>
      <c r="G1412" s="7" t="s">
        <v>1258</v>
      </c>
      <c r="H1412" s="8"/>
    </row>
    <row r="1413" ht="25" customHeight="1" spans="1:8">
      <c r="A1413" s="6">
        <v>1411</v>
      </c>
      <c r="B1413" s="7" t="str">
        <f t="shared" si="330"/>
        <v>103</v>
      </c>
      <c r="C1413" s="7" t="s">
        <v>663</v>
      </c>
      <c r="D1413" s="7" t="s">
        <v>664</v>
      </c>
      <c r="E1413" s="7" t="str">
        <f>"袁瑜"</f>
        <v>袁瑜</v>
      </c>
      <c r="F1413" s="7" t="str">
        <f t="shared" ref="F1413:F1415" si="337">"女"</f>
        <v>女</v>
      </c>
      <c r="G1413" s="7" t="s">
        <v>1259</v>
      </c>
      <c r="H1413" s="8"/>
    </row>
    <row r="1414" ht="25" customHeight="1" spans="1:8">
      <c r="A1414" s="6">
        <v>1412</v>
      </c>
      <c r="B1414" s="7" t="str">
        <f t="shared" si="330"/>
        <v>103</v>
      </c>
      <c r="C1414" s="7" t="s">
        <v>663</v>
      </c>
      <c r="D1414" s="7" t="s">
        <v>664</v>
      </c>
      <c r="E1414" s="7" t="str">
        <f>"林淑淇"</f>
        <v>林淑淇</v>
      </c>
      <c r="F1414" s="7" t="str">
        <f t="shared" si="337"/>
        <v>女</v>
      </c>
      <c r="G1414" s="7" t="s">
        <v>874</v>
      </c>
      <c r="H1414" s="8"/>
    </row>
    <row r="1415" ht="25" customHeight="1" spans="1:8">
      <c r="A1415" s="6">
        <v>1413</v>
      </c>
      <c r="B1415" s="7" t="str">
        <f t="shared" si="330"/>
        <v>103</v>
      </c>
      <c r="C1415" s="7" t="s">
        <v>663</v>
      </c>
      <c r="D1415" s="7" t="s">
        <v>664</v>
      </c>
      <c r="E1415" s="7" t="str">
        <f>"谷春妹"</f>
        <v>谷春妹</v>
      </c>
      <c r="F1415" s="7" t="str">
        <f t="shared" si="337"/>
        <v>女</v>
      </c>
      <c r="G1415" s="7" t="s">
        <v>1260</v>
      </c>
      <c r="H1415" s="8"/>
    </row>
    <row r="1416" ht="25" customHeight="1" spans="1:8">
      <c r="A1416" s="6">
        <v>1414</v>
      </c>
      <c r="B1416" s="7" t="str">
        <f t="shared" si="330"/>
        <v>103</v>
      </c>
      <c r="C1416" s="7" t="s">
        <v>663</v>
      </c>
      <c r="D1416" s="7" t="s">
        <v>664</v>
      </c>
      <c r="E1416" s="7" t="str">
        <f>"许振昭"</f>
        <v>许振昭</v>
      </c>
      <c r="F1416" s="7" t="str">
        <f t="shared" ref="F1416:F1418" si="338">"男"</f>
        <v>男</v>
      </c>
      <c r="G1416" s="7" t="s">
        <v>1261</v>
      </c>
      <c r="H1416" s="8"/>
    </row>
    <row r="1417" ht="25" customHeight="1" spans="1:8">
      <c r="A1417" s="6">
        <v>1415</v>
      </c>
      <c r="B1417" s="7" t="str">
        <f t="shared" si="330"/>
        <v>103</v>
      </c>
      <c r="C1417" s="7" t="s">
        <v>663</v>
      </c>
      <c r="D1417" s="7" t="s">
        <v>664</v>
      </c>
      <c r="E1417" s="7" t="str">
        <f>"陈永帅"</f>
        <v>陈永帅</v>
      </c>
      <c r="F1417" s="7" t="str">
        <f t="shared" si="338"/>
        <v>男</v>
      </c>
      <c r="G1417" s="7" t="s">
        <v>1262</v>
      </c>
      <c r="H1417" s="8"/>
    </row>
    <row r="1418" ht="25" customHeight="1" spans="1:8">
      <c r="A1418" s="6">
        <v>1416</v>
      </c>
      <c r="B1418" s="7" t="str">
        <f t="shared" si="330"/>
        <v>103</v>
      </c>
      <c r="C1418" s="7" t="s">
        <v>663</v>
      </c>
      <c r="D1418" s="7" t="s">
        <v>664</v>
      </c>
      <c r="E1418" s="7" t="str">
        <f>"刘文炫"</f>
        <v>刘文炫</v>
      </c>
      <c r="F1418" s="7" t="str">
        <f t="shared" si="338"/>
        <v>男</v>
      </c>
      <c r="G1418" s="7" t="s">
        <v>1263</v>
      </c>
      <c r="H1418" s="8"/>
    </row>
    <row r="1419" ht="25" customHeight="1" spans="1:8">
      <c r="A1419" s="6">
        <v>1417</v>
      </c>
      <c r="B1419" s="7" t="str">
        <f t="shared" si="330"/>
        <v>103</v>
      </c>
      <c r="C1419" s="7" t="s">
        <v>663</v>
      </c>
      <c r="D1419" s="7" t="s">
        <v>664</v>
      </c>
      <c r="E1419" s="7" t="str">
        <f>"赵春娜"</f>
        <v>赵春娜</v>
      </c>
      <c r="F1419" s="7" t="str">
        <f t="shared" ref="F1419:F1423" si="339">"女"</f>
        <v>女</v>
      </c>
      <c r="G1419" s="7" t="s">
        <v>1264</v>
      </c>
      <c r="H1419" s="8"/>
    </row>
    <row r="1420" ht="25" customHeight="1" spans="1:8">
      <c r="A1420" s="6">
        <v>1418</v>
      </c>
      <c r="B1420" s="7" t="str">
        <f t="shared" si="330"/>
        <v>103</v>
      </c>
      <c r="C1420" s="7" t="s">
        <v>663</v>
      </c>
      <c r="D1420" s="7" t="s">
        <v>664</v>
      </c>
      <c r="E1420" s="7" t="str">
        <f>"邢维纲"</f>
        <v>邢维纲</v>
      </c>
      <c r="F1420" s="7" t="str">
        <f>"男"</f>
        <v>男</v>
      </c>
      <c r="G1420" s="7" t="s">
        <v>251</v>
      </c>
      <c r="H1420" s="8"/>
    </row>
    <row r="1421" ht="25" customHeight="1" spans="1:8">
      <c r="A1421" s="6">
        <v>1419</v>
      </c>
      <c r="B1421" s="7" t="str">
        <f t="shared" si="330"/>
        <v>103</v>
      </c>
      <c r="C1421" s="7" t="s">
        <v>663</v>
      </c>
      <c r="D1421" s="7" t="s">
        <v>664</v>
      </c>
      <c r="E1421" s="7" t="str">
        <f>"林小丁"</f>
        <v>林小丁</v>
      </c>
      <c r="F1421" s="7" t="str">
        <f t="shared" si="339"/>
        <v>女</v>
      </c>
      <c r="G1421" s="7" t="s">
        <v>1265</v>
      </c>
      <c r="H1421" s="8"/>
    </row>
    <row r="1422" ht="25" customHeight="1" spans="1:8">
      <c r="A1422" s="6">
        <v>1420</v>
      </c>
      <c r="B1422" s="7" t="str">
        <f t="shared" si="330"/>
        <v>103</v>
      </c>
      <c r="C1422" s="7" t="s">
        <v>663</v>
      </c>
      <c r="D1422" s="7" t="s">
        <v>664</v>
      </c>
      <c r="E1422" s="7" t="str">
        <f>"吴巧鑫"</f>
        <v>吴巧鑫</v>
      </c>
      <c r="F1422" s="7" t="str">
        <f t="shared" si="339"/>
        <v>女</v>
      </c>
      <c r="G1422" s="7" t="s">
        <v>1042</v>
      </c>
      <c r="H1422" s="8"/>
    </row>
    <row r="1423" ht="25" customHeight="1" spans="1:8">
      <c r="A1423" s="6">
        <v>1421</v>
      </c>
      <c r="B1423" s="7" t="str">
        <f t="shared" si="330"/>
        <v>103</v>
      </c>
      <c r="C1423" s="7" t="s">
        <v>663</v>
      </c>
      <c r="D1423" s="7" t="s">
        <v>664</v>
      </c>
      <c r="E1423" s="7" t="str">
        <f>"吉佳怡"</f>
        <v>吉佳怡</v>
      </c>
      <c r="F1423" s="7" t="str">
        <f t="shared" si="339"/>
        <v>女</v>
      </c>
      <c r="G1423" s="7" t="s">
        <v>1266</v>
      </c>
      <c r="H1423" s="8"/>
    </row>
    <row r="1424" ht="25" customHeight="1" spans="1:8">
      <c r="A1424" s="6">
        <v>1422</v>
      </c>
      <c r="B1424" s="7" t="str">
        <f t="shared" si="330"/>
        <v>103</v>
      </c>
      <c r="C1424" s="7" t="s">
        <v>663</v>
      </c>
      <c r="D1424" s="7" t="s">
        <v>664</v>
      </c>
      <c r="E1424" s="7" t="str">
        <f>"周启望"</f>
        <v>周启望</v>
      </c>
      <c r="F1424" s="7" t="str">
        <f t="shared" ref="F1424:F1432" si="340">"男"</f>
        <v>男</v>
      </c>
      <c r="G1424" s="7" t="s">
        <v>406</v>
      </c>
      <c r="H1424" s="8"/>
    </row>
    <row r="1425" ht="25" customHeight="1" spans="1:8">
      <c r="A1425" s="6">
        <v>1423</v>
      </c>
      <c r="B1425" s="7" t="str">
        <f t="shared" si="330"/>
        <v>103</v>
      </c>
      <c r="C1425" s="7" t="s">
        <v>663</v>
      </c>
      <c r="D1425" s="7" t="s">
        <v>664</v>
      </c>
      <c r="E1425" s="7" t="str">
        <f>"吴敏嘉"</f>
        <v>吴敏嘉</v>
      </c>
      <c r="F1425" s="7" t="str">
        <f t="shared" ref="F1425:F1427" si="341">"女"</f>
        <v>女</v>
      </c>
      <c r="G1425" s="7" t="s">
        <v>362</v>
      </c>
      <c r="H1425" s="8"/>
    </row>
    <row r="1426" ht="25" customHeight="1" spans="1:8">
      <c r="A1426" s="6">
        <v>1424</v>
      </c>
      <c r="B1426" s="7" t="str">
        <f t="shared" si="330"/>
        <v>103</v>
      </c>
      <c r="C1426" s="7" t="s">
        <v>663</v>
      </c>
      <c r="D1426" s="7" t="s">
        <v>664</v>
      </c>
      <c r="E1426" s="7" t="str">
        <f>"郑钧芮"</f>
        <v>郑钧芮</v>
      </c>
      <c r="F1426" s="7" t="str">
        <f t="shared" si="341"/>
        <v>女</v>
      </c>
      <c r="G1426" s="7" t="s">
        <v>1267</v>
      </c>
      <c r="H1426" s="8"/>
    </row>
    <row r="1427" ht="25" customHeight="1" spans="1:8">
      <c r="A1427" s="6">
        <v>1425</v>
      </c>
      <c r="B1427" s="7" t="str">
        <f t="shared" si="330"/>
        <v>103</v>
      </c>
      <c r="C1427" s="7" t="s">
        <v>663</v>
      </c>
      <c r="D1427" s="7" t="s">
        <v>664</v>
      </c>
      <c r="E1427" s="7" t="str">
        <f>"吴丽果"</f>
        <v>吴丽果</v>
      </c>
      <c r="F1427" s="7" t="str">
        <f t="shared" si="341"/>
        <v>女</v>
      </c>
      <c r="G1427" s="7" t="s">
        <v>1268</v>
      </c>
      <c r="H1427" s="8"/>
    </row>
    <row r="1428" ht="25" customHeight="1" spans="1:8">
      <c r="A1428" s="6">
        <v>1426</v>
      </c>
      <c r="B1428" s="7" t="str">
        <f t="shared" si="330"/>
        <v>103</v>
      </c>
      <c r="C1428" s="7" t="s">
        <v>663</v>
      </c>
      <c r="D1428" s="7" t="s">
        <v>664</v>
      </c>
      <c r="E1428" s="7" t="str">
        <f>"陈杰琼"</f>
        <v>陈杰琼</v>
      </c>
      <c r="F1428" s="7" t="str">
        <f t="shared" si="340"/>
        <v>男</v>
      </c>
      <c r="G1428" s="7" t="s">
        <v>1269</v>
      </c>
      <c r="H1428" s="8"/>
    </row>
    <row r="1429" ht="25" customHeight="1" spans="1:8">
      <c r="A1429" s="6">
        <v>1427</v>
      </c>
      <c r="B1429" s="7" t="str">
        <f t="shared" si="330"/>
        <v>103</v>
      </c>
      <c r="C1429" s="7" t="s">
        <v>663</v>
      </c>
      <c r="D1429" s="7" t="s">
        <v>664</v>
      </c>
      <c r="E1429" s="7" t="str">
        <f>"黄学耀"</f>
        <v>黄学耀</v>
      </c>
      <c r="F1429" s="7" t="str">
        <f t="shared" si="340"/>
        <v>男</v>
      </c>
      <c r="G1429" s="7" t="s">
        <v>744</v>
      </c>
      <c r="H1429" s="8"/>
    </row>
    <row r="1430" ht="25" customHeight="1" spans="1:8">
      <c r="A1430" s="6">
        <v>1428</v>
      </c>
      <c r="B1430" s="7" t="str">
        <f t="shared" si="330"/>
        <v>103</v>
      </c>
      <c r="C1430" s="7" t="s">
        <v>663</v>
      </c>
      <c r="D1430" s="7" t="s">
        <v>664</v>
      </c>
      <c r="E1430" s="7" t="str">
        <f>"杨亦刚"</f>
        <v>杨亦刚</v>
      </c>
      <c r="F1430" s="7" t="str">
        <f t="shared" si="340"/>
        <v>男</v>
      </c>
      <c r="G1430" s="7" t="s">
        <v>1270</v>
      </c>
      <c r="H1430" s="8"/>
    </row>
    <row r="1431" ht="25" customHeight="1" spans="1:8">
      <c r="A1431" s="6">
        <v>1429</v>
      </c>
      <c r="B1431" s="7" t="str">
        <f t="shared" si="330"/>
        <v>103</v>
      </c>
      <c r="C1431" s="7" t="s">
        <v>663</v>
      </c>
      <c r="D1431" s="7" t="s">
        <v>664</v>
      </c>
      <c r="E1431" s="7" t="str">
        <f>"朱翔"</f>
        <v>朱翔</v>
      </c>
      <c r="F1431" s="7" t="str">
        <f t="shared" si="340"/>
        <v>男</v>
      </c>
      <c r="G1431" s="7" t="s">
        <v>1271</v>
      </c>
      <c r="H1431" s="8"/>
    </row>
    <row r="1432" ht="25" customHeight="1" spans="1:8">
      <c r="A1432" s="6">
        <v>1430</v>
      </c>
      <c r="B1432" s="7" t="str">
        <f t="shared" si="330"/>
        <v>103</v>
      </c>
      <c r="C1432" s="7" t="s">
        <v>663</v>
      </c>
      <c r="D1432" s="7" t="s">
        <v>664</v>
      </c>
      <c r="E1432" s="7" t="str">
        <f>"蒲世豪"</f>
        <v>蒲世豪</v>
      </c>
      <c r="F1432" s="7" t="str">
        <f t="shared" si="340"/>
        <v>男</v>
      </c>
      <c r="G1432" s="7" t="s">
        <v>1272</v>
      </c>
      <c r="H1432" s="8"/>
    </row>
    <row r="1433" ht="25" customHeight="1" spans="1:8">
      <c r="A1433" s="6">
        <v>1431</v>
      </c>
      <c r="B1433" s="7" t="str">
        <f t="shared" si="330"/>
        <v>103</v>
      </c>
      <c r="C1433" s="7" t="s">
        <v>663</v>
      </c>
      <c r="D1433" s="7" t="s">
        <v>664</v>
      </c>
      <c r="E1433" s="7" t="str">
        <f>"冯秀霞"</f>
        <v>冯秀霞</v>
      </c>
      <c r="F1433" s="7" t="str">
        <f t="shared" ref="F1433:F1440" si="342">"女"</f>
        <v>女</v>
      </c>
      <c r="G1433" s="7" t="s">
        <v>1273</v>
      </c>
      <c r="H1433" s="8"/>
    </row>
    <row r="1434" ht="25" customHeight="1" spans="1:8">
      <c r="A1434" s="6">
        <v>1432</v>
      </c>
      <c r="B1434" s="7" t="str">
        <f t="shared" si="330"/>
        <v>103</v>
      </c>
      <c r="C1434" s="7" t="s">
        <v>663</v>
      </c>
      <c r="D1434" s="7" t="s">
        <v>664</v>
      </c>
      <c r="E1434" s="7" t="str">
        <f>"吴怡"</f>
        <v>吴怡</v>
      </c>
      <c r="F1434" s="7" t="str">
        <f t="shared" si="342"/>
        <v>女</v>
      </c>
      <c r="G1434" s="7" t="s">
        <v>1274</v>
      </c>
      <c r="H1434" s="8"/>
    </row>
    <row r="1435" ht="25" customHeight="1" spans="1:8">
      <c r="A1435" s="6">
        <v>1433</v>
      </c>
      <c r="B1435" s="7" t="str">
        <f t="shared" si="330"/>
        <v>103</v>
      </c>
      <c r="C1435" s="7" t="s">
        <v>663</v>
      </c>
      <c r="D1435" s="7" t="s">
        <v>664</v>
      </c>
      <c r="E1435" s="7" t="str">
        <f>"董明瑶"</f>
        <v>董明瑶</v>
      </c>
      <c r="F1435" s="7" t="str">
        <f>"男"</f>
        <v>男</v>
      </c>
      <c r="G1435" s="7" t="s">
        <v>1275</v>
      </c>
      <c r="H1435" s="8"/>
    </row>
    <row r="1436" ht="25" customHeight="1" spans="1:8">
      <c r="A1436" s="6">
        <v>1434</v>
      </c>
      <c r="B1436" s="7" t="str">
        <f t="shared" si="330"/>
        <v>103</v>
      </c>
      <c r="C1436" s="7" t="s">
        <v>663</v>
      </c>
      <c r="D1436" s="7" t="s">
        <v>664</v>
      </c>
      <c r="E1436" s="7" t="str">
        <f>"李俊霏"</f>
        <v>李俊霏</v>
      </c>
      <c r="F1436" s="7" t="str">
        <f t="shared" si="342"/>
        <v>女</v>
      </c>
      <c r="G1436" s="7" t="s">
        <v>1276</v>
      </c>
      <c r="H1436" s="8"/>
    </row>
    <row r="1437" ht="25" customHeight="1" spans="1:8">
      <c r="A1437" s="6">
        <v>1435</v>
      </c>
      <c r="B1437" s="7" t="str">
        <f t="shared" si="330"/>
        <v>103</v>
      </c>
      <c r="C1437" s="7" t="s">
        <v>663</v>
      </c>
      <c r="D1437" s="7" t="s">
        <v>664</v>
      </c>
      <c r="E1437" s="7" t="str">
        <f>"王小婷"</f>
        <v>王小婷</v>
      </c>
      <c r="F1437" s="7" t="str">
        <f t="shared" si="342"/>
        <v>女</v>
      </c>
      <c r="G1437" s="7" t="s">
        <v>1277</v>
      </c>
      <c r="H1437" s="8"/>
    </row>
    <row r="1438" ht="25" customHeight="1" spans="1:8">
      <c r="A1438" s="6">
        <v>1436</v>
      </c>
      <c r="B1438" s="7" t="str">
        <f t="shared" si="330"/>
        <v>103</v>
      </c>
      <c r="C1438" s="7" t="s">
        <v>663</v>
      </c>
      <c r="D1438" s="7" t="s">
        <v>664</v>
      </c>
      <c r="E1438" s="7" t="str">
        <f>"张冠琳"</f>
        <v>张冠琳</v>
      </c>
      <c r="F1438" s="7" t="str">
        <f t="shared" si="342"/>
        <v>女</v>
      </c>
      <c r="G1438" s="7" t="s">
        <v>1278</v>
      </c>
      <c r="H1438" s="8"/>
    </row>
    <row r="1439" ht="25" customHeight="1" spans="1:8">
      <c r="A1439" s="6">
        <v>1437</v>
      </c>
      <c r="B1439" s="7" t="str">
        <f t="shared" si="330"/>
        <v>103</v>
      </c>
      <c r="C1439" s="7" t="s">
        <v>663</v>
      </c>
      <c r="D1439" s="7" t="s">
        <v>664</v>
      </c>
      <c r="E1439" s="7" t="str">
        <f>"黄凯琳"</f>
        <v>黄凯琳</v>
      </c>
      <c r="F1439" s="7" t="str">
        <f t="shared" si="342"/>
        <v>女</v>
      </c>
      <c r="G1439" s="7" t="s">
        <v>1279</v>
      </c>
      <c r="H1439" s="8"/>
    </row>
    <row r="1440" ht="25" customHeight="1" spans="1:8">
      <c r="A1440" s="6">
        <v>1438</v>
      </c>
      <c r="B1440" s="7" t="str">
        <f t="shared" si="330"/>
        <v>103</v>
      </c>
      <c r="C1440" s="7" t="s">
        <v>663</v>
      </c>
      <c r="D1440" s="7" t="s">
        <v>664</v>
      </c>
      <c r="E1440" s="7" t="str">
        <f>"卓雨瑶"</f>
        <v>卓雨瑶</v>
      </c>
      <c r="F1440" s="7" t="str">
        <f t="shared" si="342"/>
        <v>女</v>
      </c>
      <c r="G1440" s="7" t="s">
        <v>794</v>
      </c>
      <c r="H1440" s="8"/>
    </row>
    <row r="1441" ht="25" customHeight="1" spans="1:8">
      <c r="A1441" s="6">
        <v>1439</v>
      </c>
      <c r="B1441" s="7" t="str">
        <f t="shared" si="330"/>
        <v>103</v>
      </c>
      <c r="C1441" s="7" t="s">
        <v>663</v>
      </c>
      <c r="D1441" s="7" t="s">
        <v>664</v>
      </c>
      <c r="E1441" s="7" t="str">
        <f>"吉训鑫"</f>
        <v>吉训鑫</v>
      </c>
      <c r="F1441" s="7" t="str">
        <f t="shared" ref="F1441:F1443" si="343">"男"</f>
        <v>男</v>
      </c>
      <c r="G1441" s="7" t="s">
        <v>1280</v>
      </c>
      <c r="H1441" s="8"/>
    </row>
    <row r="1442" ht="25" customHeight="1" spans="1:8">
      <c r="A1442" s="6">
        <v>1440</v>
      </c>
      <c r="B1442" s="7" t="str">
        <f t="shared" si="330"/>
        <v>103</v>
      </c>
      <c r="C1442" s="7" t="s">
        <v>663</v>
      </c>
      <c r="D1442" s="7" t="s">
        <v>664</v>
      </c>
      <c r="E1442" s="7" t="str">
        <f>"容福通"</f>
        <v>容福通</v>
      </c>
      <c r="F1442" s="7" t="str">
        <f t="shared" si="343"/>
        <v>男</v>
      </c>
      <c r="G1442" s="7" t="s">
        <v>1281</v>
      </c>
      <c r="H1442" s="8"/>
    </row>
    <row r="1443" ht="25" customHeight="1" spans="1:8">
      <c r="A1443" s="6">
        <v>1441</v>
      </c>
      <c r="B1443" s="7" t="str">
        <f t="shared" si="330"/>
        <v>103</v>
      </c>
      <c r="C1443" s="7" t="s">
        <v>663</v>
      </c>
      <c r="D1443" s="7" t="s">
        <v>664</v>
      </c>
      <c r="E1443" s="7" t="str">
        <f>"谢满天"</f>
        <v>谢满天</v>
      </c>
      <c r="F1443" s="7" t="str">
        <f t="shared" si="343"/>
        <v>男</v>
      </c>
      <c r="G1443" s="7" t="s">
        <v>278</v>
      </c>
      <c r="H1443" s="8"/>
    </row>
    <row r="1444" ht="25" customHeight="1" spans="1:8">
      <c r="A1444" s="6">
        <v>1442</v>
      </c>
      <c r="B1444" s="7" t="str">
        <f t="shared" si="330"/>
        <v>103</v>
      </c>
      <c r="C1444" s="7" t="s">
        <v>663</v>
      </c>
      <c r="D1444" s="7" t="s">
        <v>664</v>
      </c>
      <c r="E1444" s="7" t="str">
        <f>"冯丽"</f>
        <v>冯丽</v>
      </c>
      <c r="F1444" s="7" t="str">
        <f t="shared" ref="F1444:F1449" si="344">"女"</f>
        <v>女</v>
      </c>
      <c r="G1444" s="7" t="s">
        <v>262</v>
      </c>
      <c r="H1444" s="8"/>
    </row>
    <row r="1445" ht="25" customHeight="1" spans="1:8">
      <c r="A1445" s="6">
        <v>1443</v>
      </c>
      <c r="B1445" s="7" t="str">
        <f t="shared" si="330"/>
        <v>103</v>
      </c>
      <c r="C1445" s="7" t="s">
        <v>663</v>
      </c>
      <c r="D1445" s="7" t="s">
        <v>664</v>
      </c>
      <c r="E1445" s="7" t="str">
        <f>"钟林邑"</f>
        <v>钟林邑</v>
      </c>
      <c r="F1445" s="7" t="str">
        <f t="shared" ref="F1445:F1450" si="345">"男"</f>
        <v>男</v>
      </c>
      <c r="G1445" s="7" t="s">
        <v>1282</v>
      </c>
      <c r="H1445" s="8"/>
    </row>
    <row r="1446" ht="25" customHeight="1" spans="1:8">
      <c r="A1446" s="6">
        <v>1444</v>
      </c>
      <c r="B1446" s="7" t="str">
        <f t="shared" si="330"/>
        <v>103</v>
      </c>
      <c r="C1446" s="7" t="s">
        <v>663</v>
      </c>
      <c r="D1446" s="7" t="s">
        <v>664</v>
      </c>
      <c r="E1446" s="7" t="str">
        <f>"陈候光"</f>
        <v>陈候光</v>
      </c>
      <c r="F1446" s="7" t="str">
        <f t="shared" si="345"/>
        <v>男</v>
      </c>
      <c r="G1446" s="7" t="s">
        <v>1283</v>
      </c>
      <c r="H1446" s="8"/>
    </row>
    <row r="1447" ht="25" customHeight="1" spans="1:8">
      <c r="A1447" s="6">
        <v>1445</v>
      </c>
      <c r="B1447" s="7" t="str">
        <f t="shared" si="330"/>
        <v>103</v>
      </c>
      <c r="C1447" s="7" t="s">
        <v>663</v>
      </c>
      <c r="D1447" s="7" t="s">
        <v>664</v>
      </c>
      <c r="E1447" s="7" t="str">
        <f>"司文"</f>
        <v>司文</v>
      </c>
      <c r="F1447" s="7" t="str">
        <f t="shared" si="344"/>
        <v>女</v>
      </c>
      <c r="G1447" s="7" t="s">
        <v>1284</v>
      </c>
      <c r="H1447" s="8"/>
    </row>
    <row r="1448" ht="25" customHeight="1" spans="1:8">
      <c r="A1448" s="6">
        <v>1446</v>
      </c>
      <c r="B1448" s="7" t="str">
        <f t="shared" ref="B1448:B1511" si="346">"103"</f>
        <v>103</v>
      </c>
      <c r="C1448" s="7" t="s">
        <v>663</v>
      </c>
      <c r="D1448" s="7" t="s">
        <v>664</v>
      </c>
      <c r="E1448" s="7" t="str">
        <f>"常逸韵"</f>
        <v>常逸韵</v>
      </c>
      <c r="F1448" s="7" t="str">
        <f t="shared" si="344"/>
        <v>女</v>
      </c>
      <c r="G1448" s="7" t="s">
        <v>1285</v>
      </c>
      <c r="H1448" s="8"/>
    </row>
    <row r="1449" ht="25" customHeight="1" spans="1:8">
      <c r="A1449" s="6">
        <v>1447</v>
      </c>
      <c r="B1449" s="7" t="str">
        <f t="shared" si="346"/>
        <v>103</v>
      </c>
      <c r="C1449" s="7" t="s">
        <v>663</v>
      </c>
      <c r="D1449" s="7" t="s">
        <v>664</v>
      </c>
      <c r="E1449" s="7" t="str">
        <f>"王冰雪"</f>
        <v>王冰雪</v>
      </c>
      <c r="F1449" s="7" t="str">
        <f t="shared" si="344"/>
        <v>女</v>
      </c>
      <c r="G1449" s="7" t="s">
        <v>1286</v>
      </c>
      <c r="H1449" s="8"/>
    </row>
    <row r="1450" ht="25" customHeight="1" spans="1:8">
      <c r="A1450" s="6">
        <v>1448</v>
      </c>
      <c r="B1450" s="7" t="str">
        <f t="shared" si="346"/>
        <v>103</v>
      </c>
      <c r="C1450" s="7" t="s">
        <v>663</v>
      </c>
      <c r="D1450" s="7" t="s">
        <v>664</v>
      </c>
      <c r="E1450" s="7" t="str">
        <f>"魏泽宇"</f>
        <v>魏泽宇</v>
      </c>
      <c r="F1450" s="7" t="str">
        <f t="shared" si="345"/>
        <v>男</v>
      </c>
      <c r="G1450" s="7" t="s">
        <v>1287</v>
      </c>
      <c r="H1450" s="8"/>
    </row>
    <row r="1451" ht="25" customHeight="1" spans="1:8">
      <c r="A1451" s="6">
        <v>1449</v>
      </c>
      <c r="B1451" s="7" t="str">
        <f t="shared" si="346"/>
        <v>103</v>
      </c>
      <c r="C1451" s="7" t="s">
        <v>663</v>
      </c>
      <c r="D1451" s="7" t="s">
        <v>664</v>
      </c>
      <c r="E1451" s="7" t="str">
        <f>"李尚真"</f>
        <v>李尚真</v>
      </c>
      <c r="F1451" s="7" t="str">
        <f t="shared" ref="F1451:F1457" si="347">"女"</f>
        <v>女</v>
      </c>
      <c r="G1451" s="7" t="s">
        <v>1288</v>
      </c>
      <c r="H1451" s="8"/>
    </row>
    <row r="1452" ht="25" customHeight="1" spans="1:8">
      <c r="A1452" s="6">
        <v>1450</v>
      </c>
      <c r="B1452" s="7" t="str">
        <f t="shared" si="346"/>
        <v>103</v>
      </c>
      <c r="C1452" s="7" t="s">
        <v>663</v>
      </c>
      <c r="D1452" s="7" t="s">
        <v>664</v>
      </c>
      <c r="E1452" s="7" t="str">
        <f>"常雯媛"</f>
        <v>常雯媛</v>
      </c>
      <c r="F1452" s="7" t="str">
        <f t="shared" si="347"/>
        <v>女</v>
      </c>
      <c r="G1452" s="7" t="s">
        <v>1289</v>
      </c>
      <c r="H1452" s="8"/>
    </row>
    <row r="1453" ht="25" customHeight="1" spans="1:8">
      <c r="A1453" s="6">
        <v>1451</v>
      </c>
      <c r="B1453" s="7" t="str">
        <f t="shared" si="346"/>
        <v>103</v>
      </c>
      <c r="C1453" s="7" t="s">
        <v>663</v>
      </c>
      <c r="D1453" s="7" t="s">
        <v>664</v>
      </c>
      <c r="E1453" s="7" t="str">
        <f>"蔡江贤"</f>
        <v>蔡江贤</v>
      </c>
      <c r="F1453" s="7" t="str">
        <f t="shared" si="347"/>
        <v>女</v>
      </c>
      <c r="G1453" s="7" t="s">
        <v>1167</v>
      </c>
      <c r="H1453" s="8"/>
    </row>
    <row r="1454" ht="25" customHeight="1" spans="1:8">
      <c r="A1454" s="6">
        <v>1452</v>
      </c>
      <c r="B1454" s="7" t="str">
        <f t="shared" si="346"/>
        <v>103</v>
      </c>
      <c r="C1454" s="7" t="s">
        <v>663</v>
      </c>
      <c r="D1454" s="7" t="s">
        <v>664</v>
      </c>
      <c r="E1454" s="7" t="str">
        <f>"洪敏"</f>
        <v>洪敏</v>
      </c>
      <c r="F1454" s="7" t="str">
        <f t="shared" si="347"/>
        <v>女</v>
      </c>
      <c r="G1454" s="7" t="s">
        <v>1290</v>
      </c>
      <c r="H1454" s="8"/>
    </row>
    <row r="1455" ht="25" customHeight="1" spans="1:8">
      <c r="A1455" s="6">
        <v>1453</v>
      </c>
      <c r="B1455" s="7" t="str">
        <f t="shared" si="346"/>
        <v>103</v>
      </c>
      <c r="C1455" s="7" t="s">
        <v>663</v>
      </c>
      <c r="D1455" s="7" t="s">
        <v>664</v>
      </c>
      <c r="E1455" s="7" t="str">
        <f>"黎姗姗"</f>
        <v>黎姗姗</v>
      </c>
      <c r="F1455" s="7" t="str">
        <f t="shared" si="347"/>
        <v>女</v>
      </c>
      <c r="G1455" s="7" t="s">
        <v>1291</v>
      </c>
      <c r="H1455" s="8"/>
    </row>
    <row r="1456" ht="25" customHeight="1" spans="1:8">
      <c r="A1456" s="6">
        <v>1454</v>
      </c>
      <c r="B1456" s="7" t="str">
        <f t="shared" si="346"/>
        <v>103</v>
      </c>
      <c r="C1456" s="7" t="s">
        <v>663</v>
      </c>
      <c r="D1456" s="7" t="s">
        <v>664</v>
      </c>
      <c r="E1456" s="7" t="str">
        <f>"王欣"</f>
        <v>王欣</v>
      </c>
      <c r="F1456" s="7" t="str">
        <f t="shared" si="347"/>
        <v>女</v>
      </c>
      <c r="G1456" s="7" t="s">
        <v>1292</v>
      </c>
      <c r="H1456" s="8"/>
    </row>
    <row r="1457" ht="25" customHeight="1" spans="1:8">
      <c r="A1457" s="6">
        <v>1455</v>
      </c>
      <c r="B1457" s="7" t="str">
        <f t="shared" si="346"/>
        <v>103</v>
      </c>
      <c r="C1457" s="7" t="s">
        <v>663</v>
      </c>
      <c r="D1457" s="7" t="s">
        <v>664</v>
      </c>
      <c r="E1457" s="7" t="str">
        <f>"王龙芬"</f>
        <v>王龙芬</v>
      </c>
      <c r="F1457" s="7" t="str">
        <f t="shared" si="347"/>
        <v>女</v>
      </c>
      <c r="G1457" s="7" t="s">
        <v>1293</v>
      </c>
      <c r="H1457" s="8"/>
    </row>
    <row r="1458" ht="25" customHeight="1" spans="1:8">
      <c r="A1458" s="6">
        <v>1456</v>
      </c>
      <c r="B1458" s="7" t="str">
        <f t="shared" si="346"/>
        <v>103</v>
      </c>
      <c r="C1458" s="7" t="s">
        <v>663</v>
      </c>
      <c r="D1458" s="7" t="s">
        <v>664</v>
      </c>
      <c r="E1458" s="7" t="str">
        <f>"罗盛技"</f>
        <v>罗盛技</v>
      </c>
      <c r="F1458" s="7" t="str">
        <f t="shared" ref="F1458:F1461" si="348">"男"</f>
        <v>男</v>
      </c>
      <c r="G1458" s="7" t="s">
        <v>1294</v>
      </c>
      <c r="H1458" s="8"/>
    </row>
    <row r="1459" ht="25" customHeight="1" spans="1:8">
      <c r="A1459" s="6">
        <v>1457</v>
      </c>
      <c r="B1459" s="7" t="str">
        <f t="shared" si="346"/>
        <v>103</v>
      </c>
      <c r="C1459" s="7" t="s">
        <v>663</v>
      </c>
      <c r="D1459" s="7" t="s">
        <v>664</v>
      </c>
      <c r="E1459" s="7" t="str">
        <f>"余顺朝"</f>
        <v>余顺朝</v>
      </c>
      <c r="F1459" s="7" t="str">
        <f t="shared" si="348"/>
        <v>男</v>
      </c>
      <c r="G1459" s="7" t="s">
        <v>1295</v>
      </c>
      <c r="H1459" s="8"/>
    </row>
    <row r="1460" ht="25" customHeight="1" spans="1:8">
      <c r="A1460" s="6">
        <v>1458</v>
      </c>
      <c r="B1460" s="7" t="str">
        <f t="shared" si="346"/>
        <v>103</v>
      </c>
      <c r="C1460" s="7" t="s">
        <v>663</v>
      </c>
      <c r="D1460" s="7" t="s">
        <v>664</v>
      </c>
      <c r="E1460" s="7" t="str">
        <f>"周玉山"</f>
        <v>周玉山</v>
      </c>
      <c r="F1460" s="7" t="str">
        <f t="shared" si="348"/>
        <v>男</v>
      </c>
      <c r="G1460" s="7" t="s">
        <v>1296</v>
      </c>
      <c r="H1460" s="8"/>
    </row>
    <row r="1461" ht="25" customHeight="1" spans="1:8">
      <c r="A1461" s="6">
        <v>1459</v>
      </c>
      <c r="B1461" s="7" t="str">
        <f t="shared" si="346"/>
        <v>103</v>
      </c>
      <c r="C1461" s="7" t="s">
        <v>663</v>
      </c>
      <c r="D1461" s="7" t="s">
        <v>664</v>
      </c>
      <c r="E1461" s="7" t="str">
        <f>"李孟"</f>
        <v>李孟</v>
      </c>
      <c r="F1461" s="7" t="str">
        <f t="shared" si="348"/>
        <v>男</v>
      </c>
      <c r="G1461" s="7" t="s">
        <v>1297</v>
      </c>
      <c r="H1461" s="8"/>
    </row>
    <row r="1462" ht="25" customHeight="1" spans="1:8">
      <c r="A1462" s="6">
        <v>1460</v>
      </c>
      <c r="B1462" s="7" t="str">
        <f t="shared" si="346"/>
        <v>103</v>
      </c>
      <c r="C1462" s="7" t="s">
        <v>663</v>
      </c>
      <c r="D1462" s="7" t="s">
        <v>664</v>
      </c>
      <c r="E1462" s="7" t="str">
        <f>"吴津"</f>
        <v>吴津</v>
      </c>
      <c r="F1462" s="7" t="str">
        <f t="shared" ref="F1462:F1469" si="349">"女"</f>
        <v>女</v>
      </c>
      <c r="G1462" s="7" t="s">
        <v>1298</v>
      </c>
      <c r="H1462" s="8"/>
    </row>
    <row r="1463" ht="25" customHeight="1" spans="1:8">
      <c r="A1463" s="6">
        <v>1461</v>
      </c>
      <c r="B1463" s="7" t="str">
        <f t="shared" si="346"/>
        <v>103</v>
      </c>
      <c r="C1463" s="7" t="s">
        <v>663</v>
      </c>
      <c r="D1463" s="7" t="s">
        <v>664</v>
      </c>
      <c r="E1463" s="7" t="str">
        <f>"王明海"</f>
        <v>王明海</v>
      </c>
      <c r="F1463" s="7" t="str">
        <f>"男"</f>
        <v>男</v>
      </c>
      <c r="G1463" s="7" t="s">
        <v>948</v>
      </c>
      <c r="H1463" s="8"/>
    </row>
    <row r="1464" ht="25" customHeight="1" spans="1:8">
      <c r="A1464" s="6">
        <v>1462</v>
      </c>
      <c r="B1464" s="7" t="str">
        <f t="shared" si="346"/>
        <v>103</v>
      </c>
      <c r="C1464" s="7" t="s">
        <v>663</v>
      </c>
      <c r="D1464" s="7" t="s">
        <v>664</v>
      </c>
      <c r="E1464" s="7" t="str">
        <f>"周筱忠"</f>
        <v>周筱忠</v>
      </c>
      <c r="F1464" s="7" t="str">
        <f>"男"</f>
        <v>男</v>
      </c>
      <c r="G1464" s="7" t="s">
        <v>1299</v>
      </c>
      <c r="H1464" s="8"/>
    </row>
    <row r="1465" ht="25" customHeight="1" spans="1:8">
      <c r="A1465" s="6">
        <v>1463</v>
      </c>
      <c r="B1465" s="7" t="str">
        <f t="shared" si="346"/>
        <v>103</v>
      </c>
      <c r="C1465" s="7" t="s">
        <v>663</v>
      </c>
      <c r="D1465" s="7" t="s">
        <v>664</v>
      </c>
      <c r="E1465" s="7" t="str">
        <f>"李婕"</f>
        <v>李婕</v>
      </c>
      <c r="F1465" s="7" t="str">
        <f t="shared" si="349"/>
        <v>女</v>
      </c>
      <c r="G1465" s="7" t="s">
        <v>1300</v>
      </c>
      <c r="H1465" s="8"/>
    </row>
    <row r="1466" ht="25" customHeight="1" spans="1:8">
      <c r="A1466" s="6">
        <v>1464</v>
      </c>
      <c r="B1466" s="7" t="str">
        <f t="shared" si="346"/>
        <v>103</v>
      </c>
      <c r="C1466" s="7" t="s">
        <v>663</v>
      </c>
      <c r="D1466" s="7" t="s">
        <v>664</v>
      </c>
      <c r="E1466" s="7" t="str">
        <f>"邹林汐"</f>
        <v>邹林汐</v>
      </c>
      <c r="F1466" s="7" t="str">
        <f t="shared" si="349"/>
        <v>女</v>
      </c>
      <c r="G1466" s="7" t="s">
        <v>1301</v>
      </c>
      <c r="H1466" s="8"/>
    </row>
    <row r="1467" ht="25" customHeight="1" spans="1:8">
      <c r="A1467" s="6">
        <v>1465</v>
      </c>
      <c r="B1467" s="7" t="str">
        <f t="shared" si="346"/>
        <v>103</v>
      </c>
      <c r="C1467" s="7" t="s">
        <v>663</v>
      </c>
      <c r="D1467" s="7" t="s">
        <v>664</v>
      </c>
      <c r="E1467" s="7" t="str">
        <f>"符提娜"</f>
        <v>符提娜</v>
      </c>
      <c r="F1467" s="7" t="str">
        <f t="shared" si="349"/>
        <v>女</v>
      </c>
      <c r="G1467" s="7" t="s">
        <v>1302</v>
      </c>
      <c r="H1467" s="8"/>
    </row>
    <row r="1468" ht="25" customHeight="1" spans="1:8">
      <c r="A1468" s="6">
        <v>1466</v>
      </c>
      <c r="B1468" s="7" t="str">
        <f t="shared" si="346"/>
        <v>103</v>
      </c>
      <c r="C1468" s="7" t="s">
        <v>663</v>
      </c>
      <c r="D1468" s="7" t="s">
        <v>664</v>
      </c>
      <c r="E1468" s="7" t="str">
        <f>"赵丽莎"</f>
        <v>赵丽莎</v>
      </c>
      <c r="F1468" s="7" t="str">
        <f t="shared" si="349"/>
        <v>女</v>
      </c>
      <c r="G1468" s="7" t="s">
        <v>1303</v>
      </c>
      <c r="H1468" s="8"/>
    </row>
    <row r="1469" ht="25" customHeight="1" spans="1:8">
      <c r="A1469" s="6">
        <v>1467</v>
      </c>
      <c r="B1469" s="7" t="str">
        <f t="shared" si="346"/>
        <v>103</v>
      </c>
      <c r="C1469" s="7" t="s">
        <v>663</v>
      </c>
      <c r="D1469" s="7" t="s">
        <v>664</v>
      </c>
      <c r="E1469" s="7" t="str">
        <f>"孙彤"</f>
        <v>孙彤</v>
      </c>
      <c r="F1469" s="7" t="str">
        <f t="shared" si="349"/>
        <v>女</v>
      </c>
      <c r="G1469" s="7" t="s">
        <v>1304</v>
      </c>
      <c r="H1469" s="8"/>
    </row>
    <row r="1470" ht="25" customHeight="1" spans="1:8">
      <c r="A1470" s="6">
        <v>1468</v>
      </c>
      <c r="B1470" s="7" t="str">
        <f t="shared" si="346"/>
        <v>103</v>
      </c>
      <c r="C1470" s="7" t="s">
        <v>663</v>
      </c>
      <c r="D1470" s="7" t="s">
        <v>664</v>
      </c>
      <c r="E1470" s="7" t="str">
        <f>"杨宸"</f>
        <v>杨宸</v>
      </c>
      <c r="F1470" s="7" t="str">
        <f t="shared" ref="F1470:F1472" si="350">"男"</f>
        <v>男</v>
      </c>
      <c r="G1470" s="7" t="s">
        <v>1305</v>
      </c>
      <c r="H1470" s="8"/>
    </row>
    <row r="1471" ht="25" customHeight="1" spans="1:8">
      <c r="A1471" s="6">
        <v>1469</v>
      </c>
      <c r="B1471" s="7" t="str">
        <f t="shared" si="346"/>
        <v>103</v>
      </c>
      <c r="C1471" s="7" t="s">
        <v>663</v>
      </c>
      <c r="D1471" s="7" t="s">
        <v>664</v>
      </c>
      <c r="E1471" s="7" t="str">
        <f>"蒙日崇"</f>
        <v>蒙日崇</v>
      </c>
      <c r="F1471" s="7" t="str">
        <f t="shared" si="350"/>
        <v>男</v>
      </c>
      <c r="G1471" s="7" t="s">
        <v>1074</v>
      </c>
      <c r="H1471" s="8"/>
    </row>
    <row r="1472" ht="25" customHeight="1" spans="1:8">
      <c r="A1472" s="6">
        <v>1470</v>
      </c>
      <c r="B1472" s="7" t="str">
        <f t="shared" si="346"/>
        <v>103</v>
      </c>
      <c r="C1472" s="7" t="s">
        <v>663</v>
      </c>
      <c r="D1472" s="7" t="s">
        <v>664</v>
      </c>
      <c r="E1472" s="7" t="str">
        <f>"黄垂桂"</f>
        <v>黄垂桂</v>
      </c>
      <c r="F1472" s="7" t="str">
        <f t="shared" si="350"/>
        <v>男</v>
      </c>
      <c r="G1472" s="7" t="s">
        <v>1306</v>
      </c>
      <c r="H1472" s="8"/>
    </row>
    <row r="1473" ht="25" customHeight="1" spans="1:8">
      <c r="A1473" s="6">
        <v>1471</v>
      </c>
      <c r="B1473" s="7" t="str">
        <f t="shared" si="346"/>
        <v>103</v>
      </c>
      <c r="C1473" s="7" t="s">
        <v>663</v>
      </c>
      <c r="D1473" s="7" t="s">
        <v>664</v>
      </c>
      <c r="E1473" s="7" t="str">
        <f>"林凯莉"</f>
        <v>林凯莉</v>
      </c>
      <c r="F1473" s="7" t="str">
        <f t="shared" ref="F1473:F1478" si="351">"女"</f>
        <v>女</v>
      </c>
      <c r="G1473" s="7" t="s">
        <v>903</v>
      </c>
      <c r="H1473" s="8"/>
    </row>
    <row r="1474" ht="25" customHeight="1" spans="1:8">
      <c r="A1474" s="6">
        <v>1472</v>
      </c>
      <c r="B1474" s="7" t="str">
        <f t="shared" si="346"/>
        <v>103</v>
      </c>
      <c r="C1474" s="7" t="s">
        <v>663</v>
      </c>
      <c r="D1474" s="7" t="s">
        <v>664</v>
      </c>
      <c r="E1474" s="7" t="str">
        <f>"徐彩连"</f>
        <v>徐彩连</v>
      </c>
      <c r="F1474" s="7" t="str">
        <f t="shared" si="351"/>
        <v>女</v>
      </c>
      <c r="G1474" s="7" t="s">
        <v>1307</v>
      </c>
      <c r="H1474" s="8"/>
    </row>
    <row r="1475" ht="25" customHeight="1" spans="1:8">
      <c r="A1475" s="6">
        <v>1473</v>
      </c>
      <c r="B1475" s="7" t="str">
        <f t="shared" si="346"/>
        <v>103</v>
      </c>
      <c r="C1475" s="7" t="s">
        <v>663</v>
      </c>
      <c r="D1475" s="7" t="s">
        <v>664</v>
      </c>
      <c r="E1475" s="7" t="str">
        <f>"陈佳"</f>
        <v>陈佳</v>
      </c>
      <c r="F1475" s="7" t="str">
        <f t="shared" ref="F1475:F1477" si="352">"男"</f>
        <v>男</v>
      </c>
      <c r="G1475" s="7" t="s">
        <v>543</v>
      </c>
      <c r="H1475" s="8"/>
    </row>
    <row r="1476" ht="25" customHeight="1" spans="1:8">
      <c r="A1476" s="6">
        <v>1474</v>
      </c>
      <c r="B1476" s="7" t="str">
        <f t="shared" si="346"/>
        <v>103</v>
      </c>
      <c r="C1476" s="7" t="s">
        <v>663</v>
      </c>
      <c r="D1476" s="7" t="s">
        <v>664</v>
      </c>
      <c r="E1476" s="7" t="str">
        <f>"林杨槛"</f>
        <v>林杨槛</v>
      </c>
      <c r="F1476" s="7" t="str">
        <f t="shared" si="352"/>
        <v>男</v>
      </c>
      <c r="G1476" s="7" t="s">
        <v>1308</v>
      </c>
      <c r="H1476" s="8"/>
    </row>
    <row r="1477" ht="25" customHeight="1" spans="1:8">
      <c r="A1477" s="6">
        <v>1475</v>
      </c>
      <c r="B1477" s="7" t="str">
        <f t="shared" si="346"/>
        <v>103</v>
      </c>
      <c r="C1477" s="7" t="s">
        <v>663</v>
      </c>
      <c r="D1477" s="7" t="s">
        <v>664</v>
      </c>
      <c r="E1477" s="7" t="str">
        <f>"符贤明"</f>
        <v>符贤明</v>
      </c>
      <c r="F1477" s="7" t="str">
        <f t="shared" si="352"/>
        <v>男</v>
      </c>
      <c r="G1477" s="7" t="s">
        <v>1309</v>
      </c>
      <c r="H1477" s="8"/>
    </row>
    <row r="1478" ht="25" customHeight="1" spans="1:8">
      <c r="A1478" s="6">
        <v>1476</v>
      </c>
      <c r="B1478" s="7" t="str">
        <f t="shared" si="346"/>
        <v>103</v>
      </c>
      <c r="C1478" s="7" t="s">
        <v>663</v>
      </c>
      <c r="D1478" s="7" t="s">
        <v>664</v>
      </c>
      <c r="E1478" s="7" t="str">
        <f>"郭海燕"</f>
        <v>郭海燕</v>
      </c>
      <c r="F1478" s="7" t="str">
        <f t="shared" si="351"/>
        <v>女</v>
      </c>
      <c r="G1478" s="7" t="s">
        <v>1310</v>
      </c>
      <c r="H1478" s="8"/>
    </row>
    <row r="1479" ht="25" customHeight="1" spans="1:8">
      <c r="A1479" s="6">
        <v>1477</v>
      </c>
      <c r="B1479" s="7" t="str">
        <f t="shared" si="346"/>
        <v>103</v>
      </c>
      <c r="C1479" s="7" t="s">
        <v>663</v>
      </c>
      <c r="D1479" s="7" t="s">
        <v>664</v>
      </c>
      <c r="E1479" s="7" t="str">
        <f>"陈开益"</f>
        <v>陈开益</v>
      </c>
      <c r="F1479" s="7" t="str">
        <f t="shared" ref="F1479:F1481" si="353">"男"</f>
        <v>男</v>
      </c>
      <c r="G1479" s="7" t="s">
        <v>1088</v>
      </c>
      <c r="H1479" s="8"/>
    </row>
    <row r="1480" ht="25" customHeight="1" spans="1:8">
      <c r="A1480" s="6">
        <v>1478</v>
      </c>
      <c r="B1480" s="7" t="str">
        <f t="shared" si="346"/>
        <v>103</v>
      </c>
      <c r="C1480" s="7" t="s">
        <v>663</v>
      </c>
      <c r="D1480" s="7" t="s">
        <v>664</v>
      </c>
      <c r="E1480" s="7" t="str">
        <f>"梁遗优"</f>
        <v>梁遗优</v>
      </c>
      <c r="F1480" s="7" t="str">
        <f t="shared" si="353"/>
        <v>男</v>
      </c>
      <c r="G1480" s="7" t="s">
        <v>1311</v>
      </c>
      <c r="H1480" s="8"/>
    </row>
    <row r="1481" ht="25" customHeight="1" spans="1:8">
      <c r="A1481" s="6">
        <v>1479</v>
      </c>
      <c r="B1481" s="7" t="str">
        <f t="shared" si="346"/>
        <v>103</v>
      </c>
      <c r="C1481" s="7" t="s">
        <v>663</v>
      </c>
      <c r="D1481" s="7" t="s">
        <v>664</v>
      </c>
      <c r="E1481" s="7" t="str">
        <f>"谢海川"</f>
        <v>谢海川</v>
      </c>
      <c r="F1481" s="7" t="str">
        <f t="shared" si="353"/>
        <v>男</v>
      </c>
      <c r="G1481" s="7" t="s">
        <v>1312</v>
      </c>
      <c r="H1481" s="8"/>
    </row>
    <row r="1482" ht="25" customHeight="1" spans="1:8">
      <c r="A1482" s="6">
        <v>1480</v>
      </c>
      <c r="B1482" s="7" t="str">
        <f t="shared" si="346"/>
        <v>103</v>
      </c>
      <c r="C1482" s="7" t="s">
        <v>663</v>
      </c>
      <c r="D1482" s="7" t="s">
        <v>664</v>
      </c>
      <c r="E1482" s="7" t="str">
        <f>"卢春柳"</f>
        <v>卢春柳</v>
      </c>
      <c r="F1482" s="7" t="str">
        <f t="shared" ref="F1482:F1487" si="354">"女"</f>
        <v>女</v>
      </c>
      <c r="G1482" s="7" t="s">
        <v>1313</v>
      </c>
      <c r="H1482" s="8"/>
    </row>
    <row r="1483" ht="25" customHeight="1" spans="1:8">
      <c r="A1483" s="6">
        <v>1481</v>
      </c>
      <c r="B1483" s="7" t="str">
        <f t="shared" si="346"/>
        <v>103</v>
      </c>
      <c r="C1483" s="7" t="s">
        <v>663</v>
      </c>
      <c r="D1483" s="7" t="s">
        <v>664</v>
      </c>
      <c r="E1483" s="7" t="str">
        <f>"万眉眉"</f>
        <v>万眉眉</v>
      </c>
      <c r="F1483" s="7" t="str">
        <f t="shared" si="354"/>
        <v>女</v>
      </c>
      <c r="G1483" s="7" t="s">
        <v>1314</v>
      </c>
      <c r="H1483" s="8"/>
    </row>
    <row r="1484" ht="25" customHeight="1" spans="1:8">
      <c r="A1484" s="6">
        <v>1482</v>
      </c>
      <c r="B1484" s="7" t="str">
        <f t="shared" si="346"/>
        <v>103</v>
      </c>
      <c r="C1484" s="7" t="s">
        <v>663</v>
      </c>
      <c r="D1484" s="7" t="s">
        <v>664</v>
      </c>
      <c r="E1484" s="7" t="str">
        <f>"何薇"</f>
        <v>何薇</v>
      </c>
      <c r="F1484" s="7" t="str">
        <f t="shared" si="354"/>
        <v>女</v>
      </c>
      <c r="G1484" s="7" t="s">
        <v>1315</v>
      </c>
      <c r="H1484" s="8"/>
    </row>
    <row r="1485" ht="25" customHeight="1" spans="1:8">
      <c r="A1485" s="6">
        <v>1483</v>
      </c>
      <c r="B1485" s="7" t="str">
        <f t="shared" si="346"/>
        <v>103</v>
      </c>
      <c r="C1485" s="7" t="s">
        <v>663</v>
      </c>
      <c r="D1485" s="7" t="s">
        <v>664</v>
      </c>
      <c r="E1485" s="7" t="str">
        <f>"王梦圆"</f>
        <v>王梦圆</v>
      </c>
      <c r="F1485" s="7" t="str">
        <f t="shared" si="354"/>
        <v>女</v>
      </c>
      <c r="G1485" s="7" t="s">
        <v>1316</v>
      </c>
      <c r="H1485" s="8"/>
    </row>
    <row r="1486" ht="25" customHeight="1" spans="1:8">
      <c r="A1486" s="6">
        <v>1484</v>
      </c>
      <c r="B1486" s="7" t="str">
        <f t="shared" si="346"/>
        <v>103</v>
      </c>
      <c r="C1486" s="7" t="s">
        <v>663</v>
      </c>
      <c r="D1486" s="7" t="s">
        <v>664</v>
      </c>
      <c r="E1486" s="7" t="str">
        <f>"胡英子"</f>
        <v>胡英子</v>
      </c>
      <c r="F1486" s="7" t="str">
        <f t="shared" si="354"/>
        <v>女</v>
      </c>
      <c r="G1486" s="7" t="s">
        <v>1317</v>
      </c>
      <c r="H1486" s="8"/>
    </row>
    <row r="1487" ht="25" customHeight="1" spans="1:8">
      <c r="A1487" s="6">
        <v>1485</v>
      </c>
      <c r="B1487" s="7" t="str">
        <f t="shared" si="346"/>
        <v>103</v>
      </c>
      <c r="C1487" s="7" t="s">
        <v>663</v>
      </c>
      <c r="D1487" s="7" t="s">
        <v>664</v>
      </c>
      <c r="E1487" s="7" t="str">
        <f>"李小颜"</f>
        <v>李小颜</v>
      </c>
      <c r="F1487" s="7" t="str">
        <f t="shared" si="354"/>
        <v>女</v>
      </c>
      <c r="G1487" s="7" t="s">
        <v>709</v>
      </c>
      <c r="H1487" s="8"/>
    </row>
    <row r="1488" ht="25" customHeight="1" spans="1:8">
      <c r="A1488" s="6">
        <v>1486</v>
      </c>
      <c r="B1488" s="7" t="str">
        <f t="shared" si="346"/>
        <v>103</v>
      </c>
      <c r="C1488" s="7" t="s">
        <v>663</v>
      </c>
      <c r="D1488" s="7" t="s">
        <v>664</v>
      </c>
      <c r="E1488" s="7" t="str">
        <f>"陈肇星"</f>
        <v>陈肇星</v>
      </c>
      <c r="F1488" s="7" t="str">
        <f t="shared" ref="F1488:F1491" si="355">"男"</f>
        <v>男</v>
      </c>
      <c r="G1488" s="7" t="s">
        <v>1318</v>
      </c>
      <c r="H1488" s="8"/>
    </row>
    <row r="1489" ht="25" customHeight="1" spans="1:8">
      <c r="A1489" s="6">
        <v>1487</v>
      </c>
      <c r="B1489" s="7" t="str">
        <f t="shared" si="346"/>
        <v>103</v>
      </c>
      <c r="C1489" s="7" t="s">
        <v>663</v>
      </c>
      <c r="D1489" s="7" t="s">
        <v>664</v>
      </c>
      <c r="E1489" s="7" t="str">
        <f>"陈合森"</f>
        <v>陈合森</v>
      </c>
      <c r="F1489" s="7" t="str">
        <f t="shared" si="355"/>
        <v>男</v>
      </c>
      <c r="G1489" s="7" t="s">
        <v>1319</v>
      </c>
      <c r="H1489" s="8"/>
    </row>
    <row r="1490" ht="25" customHeight="1" spans="1:8">
      <c r="A1490" s="6">
        <v>1488</v>
      </c>
      <c r="B1490" s="7" t="str">
        <f t="shared" si="346"/>
        <v>103</v>
      </c>
      <c r="C1490" s="7" t="s">
        <v>663</v>
      </c>
      <c r="D1490" s="7" t="s">
        <v>664</v>
      </c>
      <c r="E1490" s="7" t="str">
        <f>"麦贻婷"</f>
        <v>麦贻婷</v>
      </c>
      <c r="F1490" s="7" t="str">
        <f t="shared" ref="F1490:F1493" si="356">"女"</f>
        <v>女</v>
      </c>
      <c r="G1490" s="7" t="s">
        <v>1320</v>
      </c>
      <c r="H1490" s="8"/>
    </row>
    <row r="1491" ht="25" customHeight="1" spans="1:8">
      <c r="A1491" s="6">
        <v>1489</v>
      </c>
      <c r="B1491" s="7" t="str">
        <f t="shared" si="346"/>
        <v>103</v>
      </c>
      <c r="C1491" s="7" t="s">
        <v>663</v>
      </c>
      <c r="D1491" s="7" t="s">
        <v>664</v>
      </c>
      <c r="E1491" s="7" t="str">
        <f>"黄奕安"</f>
        <v>黄奕安</v>
      </c>
      <c r="F1491" s="7" t="str">
        <f t="shared" si="355"/>
        <v>男</v>
      </c>
      <c r="G1491" s="7" t="s">
        <v>211</v>
      </c>
      <c r="H1491" s="8"/>
    </row>
    <row r="1492" ht="25" customHeight="1" spans="1:8">
      <c r="A1492" s="6">
        <v>1490</v>
      </c>
      <c r="B1492" s="7" t="str">
        <f t="shared" si="346"/>
        <v>103</v>
      </c>
      <c r="C1492" s="7" t="s">
        <v>663</v>
      </c>
      <c r="D1492" s="7" t="s">
        <v>664</v>
      </c>
      <c r="E1492" s="7" t="str">
        <f>"黄雯佳"</f>
        <v>黄雯佳</v>
      </c>
      <c r="F1492" s="7" t="str">
        <f t="shared" si="356"/>
        <v>女</v>
      </c>
      <c r="G1492" s="7" t="s">
        <v>1321</v>
      </c>
      <c r="H1492" s="8"/>
    </row>
    <row r="1493" ht="25" customHeight="1" spans="1:8">
      <c r="A1493" s="6">
        <v>1491</v>
      </c>
      <c r="B1493" s="7" t="str">
        <f t="shared" si="346"/>
        <v>103</v>
      </c>
      <c r="C1493" s="7" t="s">
        <v>663</v>
      </c>
      <c r="D1493" s="7" t="s">
        <v>664</v>
      </c>
      <c r="E1493" s="7" t="str">
        <f>"唐春花"</f>
        <v>唐春花</v>
      </c>
      <c r="F1493" s="7" t="str">
        <f t="shared" si="356"/>
        <v>女</v>
      </c>
      <c r="G1493" s="7" t="s">
        <v>1322</v>
      </c>
      <c r="H1493" s="8"/>
    </row>
    <row r="1494" ht="25" customHeight="1" spans="1:8">
      <c r="A1494" s="6">
        <v>1492</v>
      </c>
      <c r="B1494" s="7" t="str">
        <f t="shared" si="346"/>
        <v>103</v>
      </c>
      <c r="C1494" s="7" t="s">
        <v>663</v>
      </c>
      <c r="D1494" s="7" t="s">
        <v>664</v>
      </c>
      <c r="E1494" s="7" t="str">
        <f>"黄业彬"</f>
        <v>黄业彬</v>
      </c>
      <c r="F1494" s="7" t="str">
        <f t="shared" ref="F1494:F1496" si="357">"男"</f>
        <v>男</v>
      </c>
      <c r="G1494" s="7" t="s">
        <v>948</v>
      </c>
      <c r="H1494" s="8"/>
    </row>
    <row r="1495" ht="25" customHeight="1" spans="1:8">
      <c r="A1495" s="6">
        <v>1493</v>
      </c>
      <c r="B1495" s="7" t="str">
        <f t="shared" si="346"/>
        <v>103</v>
      </c>
      <c r="C1495" s="7" t="s">
        <v>663</v>
      </c>
      <c r="D1495" s="7" t="s">
        <v>664</v>
      </c>
      <c r="E1495" s="7" t="str">
        <f>"符俊英"</f>
        <v>符俊英</v>
      </c>
      <c r="F1495" s="7" t="str">
        <f t="shared" si="357"/>
        <v>男</v>
      </c>
      <c r="G1495" s="7" t="s">
        <v>1323</v>
      </c>
      <c r="H1495" s="8"/>
    </row>
    <row r="1496" ht="25" customHeight="1" spans="1:8">
      <c r="A1496" s="6">
        <v>1494</v>
      </c>
      <c r="B1496" s="7" t="str">
        <f t="shared" si="346"/>
        <v>103</v>
      </c>
      <c r="C1496" s="7" t="s">
        <v>663</v>
      </c>
      <c r="D1496" s="7" t="s">
        <v>664</v>
      </c>
      <c r="E1496" s="7" t="str">
        <f>"王小乐"</f>
        <v>王小乐</v>
      </c>
      <c r="F1496" s="7" t="str">
        <f t="shared" si="357"/>
        <v>男</v>
      </c>
      <c r="G1496" s="7" t="s">
        <v>1324</v>
      </c>
      <c r="H1496" s="8"/>
    </row>
    <row r="1497" ht="25" customHeight="1" spans="1:8">
      <c r="A1497" s="6">
        <v>1495</v>
      </c>
      <c r="B1497" s="7" t="str">
        <f t="shared" si="346"/>
        <v>103</v>
      </c>
      <c r="C1497" s="7" t="s">
        <v>663</v>
      </c>
      <c r="D1497" s="7" t="s">
        <v>664</v>
      </c>
      <c r="E1497" s="7" t="str">
        <f>"李嘉蕾"</f>
        <v>李嘉蕾</v>
      </c>
      <c r="F1497" s="7" t="str">
        <f t="shared" ref="F1497:F1502" si="358">"女"</f>
        <v>女</v>
      </c>
      <c r="G1497" s="7" t="s">
        <v>292</v>
      </c>
      <c r="H1497" s="8"/>
    </row>
    <row r="1498" ht="25" customHeight="1" spans="1:8">
      <c r="A1498" s="6">
        <v>1496</v>
      </c>
      <c r="B1498" s="7" t="str">
        <f t="shared" si="346"/>
        <v>103</v>
      </c>
      <c r="C1498" s="7" t="s">
        <v>663</v>
      </c>
      <c r="D1498" s="7" t="s">
        <v>664</v>
      </c>
      <c r="E1498" s="7" t="str">
        <f>"钟正琪"</f>
        <v>钟正琪</v>
      </c>
      <c r="F1498" s="7" t="str">
        <f t="shared" si="358"/>
        <v>女</v>
      </c>
      <c r="G1498" s="7" t="s">
        <v>200</v>
      </c>
      <c r="H1498" s="8"/>
    </row>
    <row r="1499" ht="25" customHeight="1" spans="1:8">
      <c r="A1499" s="6">
        <v>1497</v>
      </c>
      <c r="B1499" s="7" t="str">
        <f t="shared" si="346"/>
        <v>103</v>
      </c>
      <c r="C1499" s="7" t="s">
        <v>663</v>
      </c>
      <c r="D1499" s="7" t="s">
        <v>664</v>
      </c>
      <c r="E1499" s="7" t="str">
        <f>"陈泰宁"</f>
        <v>陈泰宁</v>
      </c>
      <c r="F1499" s="7" t="str">
        <f>"男"</f>
        <v>男</v>
      </c>
      <c r="G1499" s="7" t="s">
        <v>1325</v>
      </c>
      <c r="H1499" s="8"/>
    </row>
    <row r="1500" ht="25" customHeight="1" spans="1:8">
      <c r="A1500" s="6">
        <v>1498</v>
      </c>
      <c r="B1500" s="7" t="str">
        <f t="shared" si="346"/>
        <v>103</v>
      </c>
      <c r="C1500" s="7" t="s">
        <v>663</v>
      </c>
      <c r="D1500" s="7" t="s">
        <v>664</v>
      </c>
      <c r="E1500" s="7" t="str">
        <f>"吴阳"</f>
        <v>吴阳</v>
      </c>
      <c r="F1500" s="7" t="str">
        <f t="shared" si="358"/>
        <v>女</v>
      </c>
      <c r="G1500" s="7" t="s">
        <v>1326</v>
      </c>
      <c r="H1500" s="8"/>
    </row>
    <row r="1501" ht="25" customHeight="1" spans="1:8">
      <c r="A1501" s="6">
        <v>1499</v>
      </c>
      <c r="B1501" s="7" t="str">
        <f t="shared" si="346"/>
        <v>103</v>
      </c>
      <c r="C1501" s="7" t="s">
        <v>663</v>
      </c>
      <c r="D1501" s="7" t="s">
        <v>664</v>
      </c>
      <c r="E1501" s="7" t="str">
        <f>"张璇"</f>
        <v>张璇</v>
      </c>
      <c r="F1501" s="7" t="str">
        <f t="shared" si="358"/>
        <v>女</v>
      </c>
      <c r="G1501" s="7" t="s">
        <v>863</v>
      </c>
      <c r="H1501" s="8"/>
    </row>
    <row r="1502" ht="25" customHeight="1" spans="1:8">
      <c r="A1502" s="6">
        <v>1500</v>
      </c>
      <c r="B1502" s="7" t="str">
        <f t="shared" si="346"/>
        <v>103</v>
      </c>
      <c r="C1502" s="7" t="s">
        <v>663</v>
      </c>
      <c r="D1502" s="7" t="s">
        <v>664</v>
      </c>
      <c r="E1502" s="7" t="str">
        <f>"赵思颖"</f>
        <v>赵思颖</v>
      </c>
      <c r="F1502" s="7" t="str">
        <f t="shared" si="358"/>
        <v>女</v>
      </c>
      <c r="G1502" s="7" t="s">
        <v>1327</v>
      </c>
      <c r="H1502" s="8"/>
    </row>
    <row r="1503" ht="25" customHeight="1" spans="1:8">
      <c r="A1503" s="6">
        <v>1501</v>
      </c>
      <c r="B1503" s="7" t="str">
        <f t="shared" si="346"/>
        <v>103</v>
      </c>
      <c r="C1503" s="7" t="s">
        <v>663</v>
      </c>
      <c r="D1503" s="7" t="s">
        <v>664</v>
      </c>
      <c r="E1503" s="7" t="str">
        <f>"邱昌胜"</f>
        <v>邱昌胜</v>
      </c>
      <c r="F1503" s="7" t="str">
        <f t="shared" ref="F1503:F1506" si="359">"男"</f>
        <v>男</v>
      </c>
      <c r="G1503" s="7" t="s">
        <v>1328</v>
      </c>
      <c r="H1503" s="8"/>
    </row>
    <row r="1504" ht="25" customHeight="1" spans="1:8">
      <c r="A1504" s="6">
        <v>1502</v>
      </c>
      <c r="B1504" s="7" t="str">
        <f t="shared" si="346"/>
        <v>103</v>
      </c>
      <c r="C1504" s="7" t="s">
        <v>663</v>
      </c>
      <c r="D1504" s="7" t="s">
        <v>664</v>
      </c>
      <c r="E1504" s="7" t="str">
        <f>"侯玉冰"</f>
        <v>侯玉冰</v>
      </c>
      <c r="F1504" s="7" t="str">
        <f t="shared" ref="F1504:F1508" si="360">"女"</f>
        <v>女</v>
      </c>
      <c r="G1504" s="7" t="s">
        <v>1329</v>
      </c>
      <c r="H1504" s="8"/>
    </row>
    <row r="1505" ht="25" customHeight="1" spans="1:8">
      <c r="A1505" s="6">
        <v>1503</v>
      </c>
      <c r="B1505" s="7" t="str">
        <f t="shared" si="346"/>
        <v>103</v>
      </c>
      <c r="C1505" s="7" t="s">
        <v>663</v>
      </c>
      <c r="D1505" s="7" t="s">
        <v>664</v>
      </c>
      <c r="E1505" s="7" t="str">
        <f>"吴子梁"</f>
        <v>吴子梁</v>
      </c>
      <c r="F1505" s="7" t="str">
        <f t="shared" si="359"/>
        <v>男</v>
      </c>
      <c r="G1505" s="7" t="s">
        <v>694</v>
      </c>
      <c r="H1505" s="8"/>
    </row>
    <row r="1506" ht="25" customHeight="1" spans="1:8">
      <c r="A1506" s="6">
        <v>1504</v>
      </c>
      <c r="B1506" s="7" t="str">
        <f t="shared" si="346"/>
        <v>103</v>
      </c>
      <c r="C1506" s="7" t="s">
        <v>663</v>
      </c>
      <c r="D1506" s="7" t="s">
        <v>664</v>
      </c>
      <c r="E1506" s="7" t="str">
        <f>"叶大清"</f>
        <v>叶大清</v>
      </c>
      <c r="F1506" s="7" t="str">
        <f t="shared" si="359"/>
        <v>男</v>
      </c>
      <c r="G1506" s="7" t="s">
        <v>1330</v>
      </c>
      <c r="H1506" s="8"/>
    </row>
    <row r="1507" ht="25" customHeight="1" spans="1:8">
      <c r="A1507" s="6">
        <v>1505</v>
      </c>
      <c r="B1507" s="7" t="str">
        <f t="shared" si="346"/>
        <v>103</v>
      </c>
      <c r="C1507" s="7" t="s">
        <v>663</v>
      </c>
      <c r="D1507" s="7" t="s">
        <v>664</v>
      </c>
      <c r="E1507" s="7" t="str">
        <f>"杨小婵"</f>
        <v>杨小婵</v>
      </c>
      <c r="F1507" s="7" t="str">
        <f t="shared" si="360"/>
        <v>女</v>
      </c>
      <c r="G1507" s="7" t="s">
        <v>1331</v>
      </c>
      <c r="H1507" s="8"/>
    </row>
    <row r="1508" ht="25" customHeight="1" spans="1:8">
      <c r="A1508" s="6">
        <v>1506</v>
      </c>
      <c r="B1508" s="7" t="str">
        <f t="shared" si="346"/>
        <v>103</v>
      </c>
      <c r="C1508" s="7" t="s">
        <v>663</v>
      </c>
      <c r="D1508" s="7" t="s">
        <v>664</v>
      </c>
      <c r="E1508" s="7" t="str">
        <f>"胡小赞"</f>
        <v>胡小赞</v>
      </c>
      <c r="F1508" s="7" t="str">
        <f t="shared" si="360"/>
        <v>女</v>
      </c>
      <c r="G1508" s="7" t="s">
        <v>1332</v>
      </c>
      <c r="H1508" s="8"/>
    </row>
    <row r="1509" ht="25" customHeight="1" spans="1:8">
      <c r="A1509" s="6">
        <v>1507</v>
      </c>
      <c r="B1509" s="7" t="str">
        <f t="shared" si="346"/>
        <v>103</v>
      </c>
      <c r="C1509" s="7" t="s">
        <v>663</v>
      </c>
      <c r="D1509" s="7" t="s">
        <v>664</v>
      </c>
      <c r="E1509" s="7" t="str">
        <f>"郑丕毅"</f>
        <v>郑丕毅</v>
      </c>
      <c r="F1509" s="7" t="str">
        <f>"男"</f>
        <v>男</v>
      </c>
      <c r="G1509" s="7" t="s">
        <v>1333</v>
      </c>
      <c r="H1509" s="8"/>
    </row>
    <row r="1510" ht="25" customHeight="1" spans="1:8">
      <c r="A1510" s="6">
        <v>1508</v>
      </c>
      <c r="B1510" s="7" t="str">
        <f t="shared" si="346"/>
        <v>103</v>
      </c>
      <c r="C1510" s="7" t="s">
        <v>663</v>
      </c>
      <c r="D1510" s="7" t="s">
        <v>664</v>
      </c>
      <c r="E1510" s="7" t="str">
        <f>"吴秋慧"</f>
        <v>吴秋慧</v>
      </c>
      <c r="F1510" s="7" t="str">
        <f t="shared" ref="F1510:F1513" si="361">"女"</f>
        <v>女</v>
      </c>
      <c r="G1510" s="7" t="s">
        <v>1334</v>
      </c>
      <c r="H1510" s="8"/>
    </row>
    <row r="1511" ht="25" customHeight="1" spans="1:8">
      <c r="A1511" s="6">
        <v>1509</v>
      </c>
      <c r="B1511" s="7" t="str">
        <f t="shared" si="346"/>
        <v>103</v>
      </c>
      <c r="C1511" s="7" t="s">
        <v>663</v>
      </c>
      <c r="D1511" s="7" t="s">
        <v>664</v>
      </c>
      <c r="E1511" s="7" t="str">
        <f>"谢佳丽"</f>
        <v>谢佳丽</v>
      </c>
      <c r="F1511" s="7" t="str">
        <f t="shared" si="361"/>
        <v>女</v>
      </c>
      <c r="G1511" s="7" t="s">
        <v>1335</v>
      </c>
      <c r="H1511" s="8"/>
    </row>
    <row r="1512" ht="25" customHeight="1" spans="1:8">
      <c r="A1512" s="6">
        <v>1510</v>
      </c>
      <c r="B1512" s="7" t="str">
        <f t="shared" ref="B1512:B1575" si="362">"103"</f>
        <v>103</v>
      </c>
      <c r="C1512" s="7" t="s">
        <v>663</v>
      </c>
      <c r="D1512" s="7" t="s">
        <v>664</v>
      </c>
      <c r="E1512" s="7" t="str">
        <f>"陈少娜"</f>
        <v>陈少娜</v>
      </c>
      <c r="F1512" s="7" t="str">
        <f t="shared" si="361"/>
        <v>女</v>
      </c>
      <c r="G1512" s="7" t="s">
        <v>1336</v>
      </c>
      <c r="H1512" s="8"/>
    </row>
    <row r="1513" ht="25" customHeight="1" spans="1:8">
      <c r="A1513" s="6">
        <v>1511</v>
      </c>
      <c r="B1513" s="7" t="str">
        <f t="shared" si="362"/>
        <v>103</v>
      </c>
      <c r="C1513" s="7" t="s">
        <v>663</v>
      </c>
      <c r="D1513" s="7" t="s">
        <v>664</v>
      </c>
      <c r="E1513" s="7" t="str">
        <f>"陈琦琪"</f>
        <v>陈琦琪</v>
      </c>
      <c r="F1513" s="7" t="str">
        <f t="shared" si="361"/>
        <v>女</v>
      </c>
      <c r="G1513" s="7" t="s">
        <v>1337</v>
      </c>
      <c r="H1513" s="8"/>
    </row>
    <row r="1514" ht="25" customHeight="1" spans="1:8">
      <c r="A1514" s="6">
        <v>1512</v>
      </c>
      <c r="B1514" s="7" t="str">
        <f t="shared" si="362"/>
        <v>103</v>
      </c>
      <c r="C1514" s="7" t="s">
        <v>663</v>
      </c>
      <c r="D1514" s="7" t="s">
        <v>664</v>
      </c>
      <c r="E1514" s="7" t="str">
        <f>"吴淑才"</f>
        <v>吴淑才</v>
      </c>
      <c r="F1514" s="7" t="str">
        <f t="shared" ref="F1514:F1519" si="363">"男"</f>
        <v>男</v>
      </c>
      <c r="G1514" s="7" t="s">
        <v>1338</v>
      </c>
      <c r="H1514" s="8"/>
    </row>
    <row r="1515" ht="25" customHeight="1" spans="1:8">
      <c r="A1515" s="6">
        <v>1513</v>
      </c>
      <c r="B1515" s="7" t="str">
        <f t="shared" si="362"/>
        <v>103</v>
      </c>
      <c r="C1515" s="7" t="s">
        <v>663</v>
      </c>
      <c r="D1515" s="7" t="s">
        <v>664</v>
      </c>
      <c r="E1515" s="7" t="str">
        <f>"文王乐"</f>
        <v>文王乐</v>
      </c>
      <c r="F1515" s="7" t="str">
        <f t="shared" si="363"/>
        <v>男</v>
      </c>
      <c r="G1515" s="7" t="s">
        <v>24</v>
      </c>
      <c r="H1515" s="8"/>
    </row>
    <row r="1516" ht="25" customHeight="1" spans="1:8">
      <c r="A1516" s="6">
        <v>1514</v>
      </c>
      <c r="B1516" s="7" t="str">
        <f t="shared" si="362"/>
        <v>103</v>
      </c>
      <c r="C1516" s="7" t="s">
        <v>663</v>
      </c>
      <c r="D1516" s="7" t="s">
        <v>664</v>
      </c>
      <c r="E1516" s="7" t="str">
        <f>"林娟"</f>
        <v>林娟</v>
      </c>
      <c r="F1516" s="7" t="str">
        <f t="shared" ref="F1516:F1520" si="364">"女"</f>
        <v>女</v>
      </c>
      <c r="G1516" s="7" t="s">
        <v>1339</v>
      </c>
      <c r="H1516" s="8"/>
    </row>
    <row r="1517" ht="25" customHeight="1" spans="1:8">
      <c r="A1517" s="6">
        <v>1515</v>
      </c>
      <c r="B1517" s="7" t="str">
        <f t="shared" si="362"/>
        <v>103</v>
      </c>
      <c r="C1517" s="7" t="s">
        <v>663</v>
      </c>
      <c r="D1517" s="7" t="s">
        <v>664</v>
      </c>
      <c r="E1517" s="7" t="str">
        <f>"陈靖儿"</f>
        <v>陈靖儿</v>
      </c>
      <c r="F1517" s="7" t="str">
        <f t="shared" si="364"/>
        <v>女</v>
      </c>
      <c r="G1517" s="7" t="s">
        <v>375</v>
      </c>
      <c r="H1517" s="8"/>
    </row>
    <row r="1518" ht="25" customHeight="1" spans="1:8">
      <c r="A1518" s="6">
        <v>1516</v>
      </c>
      <c r="B1518" s="7" t="str">
        <f t="shared" si="362"/>
        <v>103</v>
      </c>
      <c r="C1518" s="7" t="s">
        <v>663</v>
      </c>
      <c r="D1518" s="7" t="s">
        <v>664</v>
      </c>
      <c r="E1518" s="7" t="str">
        <f>"韦通裕"</f>
        <v>韦通裕</v>
      </c>
      <c r="F1518" s="7" t="str">
        <f t="shared" si="363"/>
        <v>男</v>
      </c>
      <c r="G1518" s="7" t="s">
        <v>1340</v>
      </c>
      <c r="H1518" s="8"/>
    </row>
    <row r="1519" ht="25" customHeight="1" spans="1:8">
      <c r="A1519" s="6">
        <v>1517</v>
      </c>
      <c r="B1519" s="7" t="str">
        <f t="shared" si="362"/>
        <v>103</v>
      </c>
      <c r="C1519" s="7" t="s">
        <v>663</v>
      </c>
      <c r="D1519" s="7" t="s">
        <v>664</v>
      </c>
      <c r="E1519" s="7" t="str">
        <f>"朱德崴"</f>
        <v>朱德崴</v>
      </c>
      <c r="F1519" s="7" t="str">
        <f t="shared" si="363"/>
        <v>男</v>
      </c>
      <c r="G1519" s="7" t="s">
        <v>1341</v>
      </c>
      <c r="H1519" s="8"/>
    </row>
    <row r="1520" ht="25" customHeight="1" spans="1:8">
      <c r="A1520" s="6">
        <v>1518</v>
      </c>
      <c r="B1520" s="7" t="str">
        <f t="shared" si="362"/>
        <v>103</v>
      </c>
      <c r="C1520" s="7" t="s">
        <v>663</v>
      </c>
      <c r="D1520" s="7" t="s">
        <v>664</v>
      </c>
      <c r="E1520" s="7" t="str">
        <f>"陈淑豪"</f>
        <v>陈淑豪</v>
      </c>
      <c r="F1520" s="7" t="str">
        <f t="shared" si="364"/>
        <v>女</v>
      </c>
      <c r="G1520" s="7" t="s">
        <v>43</v>
      </c>
      <c r="H1520" s="8"/>
    </row>
    <row r="1521" ht="25" customHeight="1" spans="1:8">
      <c r="A1521" s="6">
        <v>1519</v>
      </c>
      <c r="B1521" s="7" t="str">
        <f t="shared" si="362"/>
        <v>103</v>
      </c>
      <c r="C1521" s="7" t="s">
        <v>663</v>
      </c>
      <c r="D1521" s="7" t="s">
        <v>664</v>
      </c>
      <c r="E1521" s="7" t="str">
        <f>"冯乃逍"</f>
        <v>冯乃逍</v>
      </c>
      <c r="F1521" s="7" t="str">
        <f>"男"</f>
        <v>男</v>
      </c>
      <c r="G1521" s="7" t="s">
        <v>1088</v>
      </c>
      <c r="H1521" s="8"/>
    </row>
    <row r="1522" ht="25" customHeight="1" spans="1:8">
      <c r="A1522" s="6">
        <v>1520</v>
      </c>
      <c r="B1522" s="7" t="str">
        <f t="shared" si="362"/>
        <v>103</v>
      </c>
      <c r="C1522" s="7" t="s">
        <v>663</v>
      </c>
      <c r="D1522" s="7" t="s">
        <v>664</v>
      </c>
      <c r="E1522" s="7" t="str">
        <f>"林久盛"</f>
        <v>林久盛</v>
      </c>
      <c r="F1522" s="7" t="str">
        <f>"男"</f>
        <v>男</v>
      </c>
      <c r="G1522" s="7" t="s">
        <v>1342</v>
      </c>
      <c r="H1522" s="8"/>
    </row>
    <row r="1523" ht="25" customHeight="1" spans="1:8">
      <c r="A1523" s="6">
        <v>1521</v>
      </c>
      <c r="B1523" s="7" t="str">
        <f t="shared" si="362"/>
        <v>103</v>
      </c>
      <c r="C1523" s="7" t="s">
        <v>663</v>
      </c>
      <c r="D1523" s="7" t="s">
        <v>664</v>
      </c>
      <c r="E1523" s="7" t="str">
        <f>"薛琳珊"</f>
        <v>薛琳珊</v>
      </c>
      <c r="F1523" s="7" t="str">
        <f t="shared" ref="F1523:F1526" si="365">"女"</f>
        <v>女</v>
      </c>
      <c r="G1523" s="7" t="s">
        <v>1343</v>
      </c>
      <c r="H1523" s="8"/>
    </row>
    <row r="1524" ht="25" customHeight="1" spans="1:8">
      <c r="A1524" s="6">
        <v>1522</v>
      </c>
      <c r="B1524" s="7" t="str">
        <f t="shared" si="362"/>
        <v>103</v>
      </c>
      <c r="C1524" s="7" t="s">
        <v>663</v>
      </c>
      <c r="D1524" s="7" t="s">
        <v>664</v>
      </c>
      <c r="E1524" s="7" t="str">
        <f>"王晓"</f>
        <v>王晓</v>
      </c>
      <c r="F1524" s="7" t="str">
        <f t="shared" si="365"/>
        <v>女</v>
      </c>
      <c r="G1524" s="7" t="s">
        <v>728</v>
      </c>
      <c r="H1524" s="8"/>
    </row>
    <row r="1525" ht="25" customHeight="1" spans="1:8">
      <c r="A1525" s="6">
        <v>1523</v>
      </c>
      <c r="B1525" s="7" t="str">
        <f t="shared" si="362"/>
        <v>103</v>
      </c>
      <c r="C1525" s="7" t="s">
        <v>663</v>
      </c>
      <c r="D1525" s="7" t="s">
        <v>664</v>
      </c>
      <c r="E1525" s="7" t="str">
        <f>"林盈盈"</f>
        <v>林盈盈</v>
      </c>
      <c r="F1525" s="7" t="str">
        <f t="shared" si="365"/>
        <v>女</v>
      </c>
      <c r="G1525" s="7" t="s">
        <v>1344</v>
      </c>
      <c r="H1525" s="8"/>
    </row>
    <row r="1526" ht="25" customHeight="1" spans="1:8">
      <c r="A1526" s="6">
        <v>1524</v>
      </c>
      <c r="B1526" s="7" t="str">
        <f t="shared" si="362"/>
        <v>103</v>
      </c>
      <c r="C1526" s="7" t="s">
        <v>663</v>
      </c>
      <c r="D1526" s="7" t="s">
        <v>664</v>
      </c>
      <c r="E1526" s="7" t="str">
        <f>"邢孔应"</f>
        <v>邢孔应</v>
      </c>
      <c r="F1526" s="7" t="str">
        <f t="shared" si="365"/>
        <v>女</v>
      </c>
      <c r="G1526" s="7" t="s">
        <v>1345</v>
      </c>
      <c r="H1526" s="8"/>
    </row>
    <row r="1527" ht="25" customHeight="1" spans="1:8">
      <c r="A1527" s="6">
        <v>1525</v>
      </c>
      <c r="B1527" s="7" t="str">
        <f t="shared" si="362"/>
        <v>103</v>
      </c>
      <c r="C1527" s="7" t="s">
        <v>663</v>
      </c>
      <c r="D1527" s="7" t="s">
        <v>664</v>
      </c>
      <c r="E1527" s="7" t="str">
        <f>"张巍"</f>
        <v>张巍</v>
      </c>
      <c r="F1527" s="7" t="str">
        <f>"男"</f>
        <v>男</v>
      </c>
      <c r="G1527" s="7" t="s">
        <v>1346</v>
      </c>
      <c r="H1527" s="8"/>
    </row>
    <row r="1528" ht="25" customHeight="1" spans="1:8">
      <c r="A1528" s="6">
        <v>1526</v>
      </c>
      <c r="B1528" s="7" t="str">
        <f t="shared" si="362"/>
        <v>103</v>
      </c>
      <c r="C1528" s="7" t="s">
        <v>663</v>
      </c>
      <c r="D1528" s="7" t="s">
        <v>664</v>
      </c>
      <c r="E1528" s="7" t="str">
        <f>"冯凤颜"</f>
        <v>冯凤颜</v>
      </c>
      <c r="F1528" s="7" t="str">
        <f t="shared" ref="F1528:F1533" si="366">"女"</f>
        <v>女</v>
      </c>
      <c r="G1528" s="7" t="s">
        <v>1347</v>
      </c>
      <c r="H1528" s="8"/>
    </row>
    <row r="1529" ht="25" customHeight="1" spans="1:8">
      <c r="A1529" s="6">
        <v>1527</v>
      </c>
      <c r="B1529" s="7" t="str">
        <f t="shared" si="362"/>
        <v>103</v>
      </c>
      <c r="C1529" s="7" t="s">
        <v>663</v>
      </c>
      <c r="D1529" s="7" t="s">
        <v>664</v>
      </c>
      <c r="E1529" s="7" t="str">
        <f>"叶慧"</f>
        <v>叶慧</v>
      </c>
      <c r="F1529" s="7" t="str">
        <f t="shared" si="366"/>
        <v>女</v>
      </c>
      <c r="G1529" s="7" t="s">
        <v>1348</v>
      </c>
      <c r="H1529" s="8"/>
    </row>
    <row r="1530" ht="25" customHeight="1" spans="1:8">
      <c r="A1530" s="6">
        <v>1528</v>
      </c>
      <c r="B1530" s="7" t="str">
        <f t="shared" si="362"/>
        <v>103</v>
      </c>
      <c r="C1530" s="7" t="s">
        <v>663</v>
      </c>
      <c r="D1530" s="7" t="s">
        <v>664</v>
      </c>
      <c r="E1530" s="7" t="str">
        <f>"陈明发"</f>
        <v>陈明发</v>
      </c>
      <c r="F1530" s="7" t="str">
        <f t="shared" ref="F1530:F1536" si="367">"男"</f>
        <v>男</v>
      </c>
      <c r="G1530" s="7" t="s">
        <v>1349</v>
      </c>
      <c r="H1530" s="8"/>
    </row>
    <row r="1531" ht="25" customHeight="1" spans="1:8">
      <c r="A1531" s="6">
        <v>1529</v>
      </c>
      <c r="B1531" s="7" t="str">
        <f t="shared" si="362"/>
        <v>103</v>
      </c>
      <c r="C1531" s="7" t="s">
        <v>663</v>
      </c>
      <c r="D1531" s="7" t="s">
        <v>664</v>
      </c>
      <c r="E1531" s="7" t="str">
        <f>"张琪"</f>
        <v>张琪</v>
      </c>
      <c r="F1531" s="7" t="str">
        <f t="shared" si="366"/>
        <v>女</v>
      </c>
      <c r="G1531" s="7" t="s">
        <v>1350</v>
      </c>
      <c r="H1531" s="8"/>
    </row>
    <row r="1532" ht="25" customHeight="1" spans="1:8">
      <c r="A1532" s="6">
        <v>1530</v>
      </c>
      <c r="B1532" s="7" t="str">
        <f t="shared" si="362"/>
        <v>103</v>
      </c>
      <c r="C1532" s="7" t="s">
        <v>663</v>
      </c>
      <c r="D1532" s="7" t="s">
        <v>664</v>
      </c>
      <c r="E1532" s="7" t="str">
        <f>"赵学敏"</f>
        <v>赵学敏</v>
      </c>
      <c r="F1532" s="7" t="str">
        <f t="shared" si="366"/>
        <v>女</v>
      </c>
      <c r="G1532" s="7" t="s">
        <v>1351</v>
      </c>
      <c r="H1532" s="8"/>
    </row>
    <row r="1533" ht="25" customHeight="1" spans="1:8">
      <c r="A1533" s="6">
        <v>1531</v>
      </c>
      <c r="B1533" s="7" t="str">
        <f t="shared" si="362"/>
        <v>103</v>
      </c>
      <c r="C1533" s="7" t="s">
        <v>663</v>
      </c>
      <c r="D1533" s="7" t="s">
        <v>664</v>
      </c>
      <c r="E1533" s="7" t="str">
        <f>"韩莹"</f>
        <v>韩莹</v>
      </c>
      <c r="F1533" s="7" t="str">
        <f t="shared" si="366"/>
        <v>女</v>
      </c>
      <c r="G1533" s="7" t="s">
        <v>459</v>
      </c>
      <c r="H1533" s="8"/>
    </row>
    <row r="1534" ht="25" customHeight="1" spans="1:8">
      <c r="A1534" s="6">
        <v>1532</v>
      </c>
      <c r="B1534" s="7" t="str">
        <f t="shared" si="362"/>
        <v>103</v>
      </c>
      <c r="C1534" s="7" t="s">
        <v>663</v>
      </c>
      <c r="D1534" s="7" t="s">
        <v>664</v>
      </c>
      <c r="E1534" s="7" t="str">
        <f>"王键"</f>
        <v>王键</v>
      </c>
      <c r="F1534" s="7" t="str">
        <f t="shared" si="367"/>
        <v>男</v>
      </c>
      <c r="G1534" s="7" t="s">
        <v>1352</v>
      </c>
      <c r="H1534" s="8"/>
    </row>
    <row r="1535" ht="25" customHeight="1" spans="1:8">
      <c r="A1535" s="6">
        <v>1533</v>
      </c>
      <c r="B1535" s="7" t="str">
        <f t="shared" si="362"/>
        <v>103</v>
      </c>
      <c r="C1535" s="7" t="s">
        <v>663</v>
      </c>
      <c r="D1535" s="7" t="s">
        <v>664</v>
      </c>
      <c r="E1535" s="7" t="str">
        <f>"张镐"</f>
        <v>张镐</v>
      </c>
      <c r="F1535" s="7" t="str">
        <f t="shared" si="367"/>
        <v>男</v>
      </c>
      <c r="G1535" s="7" t="s">
        <v>1353</v>
      </c>
      <c r="H1535" s="8"/>
    </row>
    <row r="1536" ht="25" customHeight="1" spans="1:8">
      <c r="A1536" s="6">
        <v>1534</v>
      </c>
      <c r="B1536" s="7" t="str">
        <f t="shared" si="362"/>
        <v>103</v>
      </c>
      <c r="C1536" s="7" t="s">
        <v>663</v>
      </c>
      <c r="D1536" s="7" t="s">
        <v>664</v>
      </c>
      <c r="E1536" s="7" t="str">
        <f>"吴俊杰"</f>
        <v>吴俊杰</v>
      </c>
      <c r="F1536" s="7" t="str">
        <f t="shared" si="367"/>
        <v>男</v>
      </c>
      <c r="G1536" s="7" t="s">
        <v>1354</v>
      </c>
      <c r="H1536" s="8"/>
    </row>
    <row r="1537" ht="25" customHeight="1" spans="1:8">
      <c r="A1537" s="6">
        <v>1535</v>
      </c>
      <c r="B1537" s="7" t="str">
        <f t="shared" si="362"/>
        <v>103</v>
      </c>
      <c r="C1537" s="7" t="s">
        <v>663</v>
      </c>
      <c r="D1537" s="7" t="s">
        <v>664</v>
      </c>
      <c r="E1537" s="7" t="str">
        <f>"吉莉"</f>
        <v>吉莉</v>
      </c>
      <c r="F1537" s="7" t="str">
        <f t="shared" ref="F1537:F1543" si="368">"女"</f>
        <v>女</v>
      </c>
      <c r="G1537" s="7" t="s">
        <v>1355</v>
      </c>
      <c r="H1537" s="8"/>
    </row>
    <row r="1538" ht="25" customHeight="1" spans="1:8">
      <c r="A1538" s="6">
        <v>1536</v>
      </c>
      <c r="B1538" s="7" t="str">
        <f t="shared" si="362"/>
        <v>103</v>
      </c>
      <c r="C1538" s="7" t="s">
        <v>663</v>
      </c>
      <c r="D1538" s="7" t="s">
        <v>664</v>
      </c>
      <c r="E1538" s="7" t="str">
        <f>"唐虹"</f>
        <v>唐虹</v>
      </c>
      <c r="F1538" s="7" t="str">
        <f t="shared" si="368"/>
        <v>女</v>
      </c>
      <c r="G1538" s="7" t="s">
        <v>1356</v>
      </c>
      <c r="H1538" s="8"/>
    </row>
    <row r="1539" ht="25" customHeight="1" spans="1:8">
      <c r="A1539" s="6">
        <v>1537</v>
      </c>
      <c r="B1539" s="7" t="str">
        <f t="shared" si="362"/>
        <v>103</v>
      </c>
      <c r="C1539" s="7" t="s">
        <v>663</v>
      </c>
      <c r="D1539" s="7" t="s">
        <v>664</v>
      </c>
      <c r="E1539" s="7" t="str">
        <f>"黄荟运"</f>
        <v>黄荟运</v>
      </c>
      <c r="F1539" s="7" t="str">
        <f>"男"</f>
        <v>男</v>
      </c>
      <c r="G1539" s="7" t="s">
        <v>598</v>
      </c>
      <c r="H1539" s="8"/>
    </row>
    <row r="1540" ht="25" customHeight="1" spans="1:8">
      <c r="A1540" s="6">
        <v>1538</v>
      </c>
      <c r="B1540" s="7" t="str">
        <f t="shared" si="362"/>
        <v>103</v>
      </c>
      <c r="C1540" s="7" t="s">
        <v>663</v>
      </c>
      <c r="D1540" s="7" t="s">
        <v>664</v>
      </c>
      <c r="E1540" s="7" t="str">
        <f>"黄倩倩"</f>
        <v>黄倩倩</v>
      </c>
      <c r="F1540" s="7" t="str">
        <f t="shared" si="368"/>
        <v>女</v>
      </c>
      <c r="G1540" s="7" t="s">
        <v>1033</v>
      </c>
      <c r="H1540" s="8"/>
    </row>
    <row r="1541" ht="25" customHeight="1" spans="1:8">
      <c r="A1541" s="6">
        <v>1539</v>
      </c>
      <c r="B1541" s="7" t="str">
        <f t="shared" si="362"/>
        <v>103</v>
      </c>
      <c r="C1541" s="7" t="s">
        <v>663</v>
      </c>
      <c r="D1541" s="7" t="s">
        <v>664</v>
      </c>
      <c r="E1541" s="7" t="str">
        <f>"王用姬"</f>
        <v>王用姬</v>
      </c>
      <c r="F1541" s="7" t="str">
        <f t="shared" si="368"/>
        <v>女</v>
      </c>
      <c r="G1541" s="7" t="s">
        <v>1357</v>
      </c>
      <c r="H1541" s="8"/>
    </row>
    <row r="1542" ht="25" customHeight="1" spans="1:8">
      <c r="A1542" s="6">
        <v>1540</v>
      </c>
      <c r="B1542" s="7" t="str">
        <f t="shared" si="362"/>
        <v>103</v>
      </c>
      <c r="C1542" s="7" t="s">
        <v>663</v>
      </c>
      <c r="D1542" s="7" t="s">
        <v>664</v>
      </c>
      <c r="E1542" s="7" t="str">
        <f>"王海英"</f>
        <v>王海英</v>
      </c>
      <c r="F1542" s="7" t="str">
        <f t="shared" si="368"/>
        <v>女</v>
      </c>
      <c r="G1542" s="7" t="s">
        <v>1358</v>
      </c>
      <c r="H1542" s="8"/>
    </row>
    <row r="1543" ht="25" customHeight="1" spans="1:8">
      <c r="A1543" s="6">
        <v>1541</v>
      </c>
      <c r="B1543" s="7" t="str">
        <f t="shared" si="362"/>
        <v>103</v>
      </c>
      <c r="C1543" s="7" t="s">
        <v>663</v>
      </c>
      <c r="D1543" s="7" t="s">
        <v>664</v>
      </c>
      <c r="E1543" s="7" t="str">
        <f>"张至馨"</f>
        <v>张至馨</v>
      </c>
      <c r="F1543" s="7" t="str">
        <f t="shared" si="368"/>
        <v>女</v>
      </c>
      <c r="G1543" s="7" t="s">
        <v>1007</v>
      </c>
      <c r="H1543" s="8"/>
    </row>
    <row r="1544" ht="25" customHeight="1" spans="1:8">
      <c r="A1544" s="6">
        <v>1542</v>
      </c>
      <c r="B1544" s="7" t="str">
        <f t="shared" si="362"/>
        <v>103</v>
      </c>
      <c r="C1544" s="7" t="s">
        <v>663</v>
      </c>
      <c r="D1544" s="7" t="s">
        <v>664</v>
      </c>
      <c r="E1544" s="7" t="str">
        <f>"薛来臣"</f>
        <v>薛来臣</v>
      </c>
      <c r="F1544" s="7" t="str">
        <f t="shared" ref="F1544:F1549" si="369">"男"</f>
        <v>男</v>
      </c>
      <c r="G1544" s="7" t="s">
        <v>1359</v>
      </c>
      <c r="H1544" s="8"/>
    </row>
    <row r="1545" ht="25" customHeight="1" spans="1:8">
      <c r="A1545" s="6">
        <v>1543</v>
      </c>
      <c r="B1545" s="7" t="str">
        <f t="shared" si="362"/>
        <v>103</v>
      </c>
      <c r="C1545" s="7" t="s">
        <v>663</v>
      </c>
      <c r="D1545" s="7" t="s">
        <v>664</v>
      </c>
      <c r="E1545" s="7" t="str">
        <f>"黎金愿"</f>
        <v>黎金愿</v>
      </c>
      <c r="F1545" s="7" t="str">
        <f t="shared" ref="F1545:F1547" si="370">"女"</f>
        <v>女</v>
      </c>
      <c r="G1545" s="7" t="s">
        <v>1360</v>
      </c>
      <c r="H1545" s="8"/>
    </row>
    <row r="1546" ht="25" customHeight="1" spans="1:8">
      <c r="A1546" s="6">
        <v>1544</v>
      </c>
      <c r="B1546" s="7" t="str">
        <f t="shared" si="362"/>
        <v>103</v>
      </c>
      <c r="C1546" s="7" t="s">
        <v>663</v>
      </c>
      <c r="D1546" s="7" t="s">
        <v>664</v>
      </c>
      <c r="E1546" s="7" t="str">
        <f>"唐才敏"</f>
        <v>唐才敏</v>
      </c>
      <c r="F1546" s="7" t="str">
        <f t="shared" si="370"/>
        <v>女</v>
      </c>
      <c r="G1546" s="7" t="s">
        <v>1361</v>
      </c>
      <c r="H1546" s="8"/>
    </row>
    <row r="1547" ht="25" customHeight="1" spans="1:8">
      <c r="A1547" s="6">
        <v>1545</v>
      </c>
      <c r="B1547" s="7" t="str">
        <f t="shared" si="362"/>
        <v>103</v>
      </c>
      <c r="C1547" s="7" t="s">
        <v>663</v>
      </c>
      <c r="D1547" s="7" t="s">
        <v>664</v>
      </c>
      <c r="E1547" s="7" t="str">
        <f>"符文芸"</f>
        <v>符文芸</v>
      </c>
      <c r="F1547" s="7" t="str">
        <f t="shared" si="370"/>
        <v>女</v>
      </c>
      <c r="G1547" s="7" t="s">
        <v>1362</v>
      </c>
      <c r="H1547" s="8"/>
    </row>
    <row r="1548" ht="25" customHeight="1" spans="1:8">
      <c r="A1548" s="6">
        <v>1546</v>
      </c>
      <c r="B1548" s="7" t="str">
        <f t="shared" si="362"/>
        <v>103</v>
      </c>
      <c r="C1548" s="7" t="s">
        <v>663</v>
      </c>
      <c r="D1548" s="7" t="s">
        <v>664</v>
      </c>
      <c r="E1548" s="7" t="str">
        <f>"李晗"</f>
        <v>李晗</v>
      </c>
      <c r="F1548" s="7" t="str">
        <f t="shared" si="369"/>
        <v>男</v>
      </c>
      <c r="G1548" s="7" t="s">
        <v>1363</v>
      </c>
      <c r="H1548" s="8"/>
    </row>
    <row r="1549" ht="25" customHeight="1" spans="1:8">
      <c r="A1549" s="6">
        <v>1547</v>
      </c>
      <c r="B1549" s="7" t="str">
        <f t="shared" si="362"/>
        <v>103</v>
      </c>
      <c r="C1549" s="7" t="s">
        <v>663</v>
      </c>
      <c r="D1549" s="7" t="s">
        <v>664</v>
      </c>
      <c r="E1549" s="7" t="str">
        <f>"罗镓金"</f>
        <v>罗镓金</v>
      </c>
      <c r="F1549" s="7" t="str">
        <f t="shared" si="369"/>
        <v>男</v>
      </c>
      <c r="G1549" s="7" t="s">
        <v>1364</v>
      </c>
      <c r="H1549" s="8"/>
    </row>
    <row r="1550" ht="25" customHeight="1" spans="1:8">
      <c r="A1550" s="6">
        <v>1548</v>
      </c>
      <c r="B1550" s="7" t="str">
        <f t="shared" si="362"/>
        <v>103</v>
      </c>
      <c r="C1550" s="7" t="s">
        <v>663</v>
      </c>
      <c r="D1550" s="7" t="s">
        <v>664</v>
      </c>
      <c r="E1550" s="7" t="str">
        <f>"管诗宇"</f>
        <v>管诗宇</v>
      </c>
      <c r="F1550" s="7" t="str">
        <f t="shared" ref="F1550:F1553" si="371">"女"</f>
        <v>女</v>
      </c>
      <c r="G1550" s="7" t="s">
        <v>203</v>
      </c>
      <c r="H1550" s="8"/>
    </row>
    <row r="1551" ht="25" customHeight="1" spans="1:8">
      <c r="A1551" s="6">
        <v>1549</v>
      </c>
      <c r="B1551" s="7" t="str">
        <f t="shared" si="362"/>
        <v>103</v>
      </c>
      <c r="C1551" s="7" t="s">
        <v>663</v>
      </c>
      <c r="D1551" s="7" t="s">
        <v>664</v>
      </c>
      <c r="E1551" s="7" t="str">
        <f>"曾祖琳"</f>
        <v>曾祖琳</v>
      </c>
      <c r="F1551" s="7" t="str">
        <f t="shared" si="371"/>
        <v>女</v>
      </c>
      <c r="G1551" s="7" t="s">
        <v>1291</v>
      </c>
      <c r="H1551" s="8"/>
    </row>
    <row r="1552" ht="25" customHeight="1" spans="1:8">
      <c r="A1552" s="6">
        <v>1550</v>
      </c>
      <c r="B1552" s="7" t="str">
        <f t="shared" si="362"/>
        <v>103</v>
      </c>
      <c r="C1552" s="7" t="s">
        <v>663</v>
      </c>
      <c r="D1552" s="7" t="s">
        <v>664</v>
      </c>
      <c r="E1552" s="7" t="str">
        <f>"李昕"</f>
        <v>李昕</v>
      </c>
      <c r="F1552" s="7" t="str">
        <f t="shared" si="371"/>
        <v>女</v>
      </c>
      <c r="G1552" s="7" t="s">
        <v>1365</v>
      </c>
      <c r="H1552" s="8"/>
    </row>
    <row r="1553" ht="25" customHeight="1" spans="1:8">
      <c r="A1553" s="6">
        <v>1551</v>
      </c>
      <c r="B1553" s="7" t="str">
        <f t="shared" si="362"/>
        <v>103</v>
      </c>
      <c r="C1553" s="7" t="s">
        <v>663</v>
      </c>
      <c r="D1553" s="7" t="s">
        <v>664</v>
      </c>
      <c r="E1553" s="7" t="str">
        <f>"刘世菁"</f>
        <v>刘世菁</v>
      </c>
      <c r="F1553" s="7" t="str">
        <f t="shared" si="371"/>
        <v>女</v>
      </c>
      <c r="G1553" s="7" t="s">
        <v>1366</v>
      </c>
      <c r="H1553" s="8"/>
    </row>
    <row r="1554" ht="25" customHeight="1" spans="1:8">
      <c r="A1554" s="6">
        <v>1552</v>
      </c>
      <c r="B1554" s="7" t="str">
        <f t="shared" si="362"/>
        <v>103</v>
      </c>
      <c r="C1554" s="7" t="s">
        <v>663</v>
      </c>
      <c r="D1554" s="7" t="s">
        <v>664</v>
      </c>
      <c r="E1554" s="7" t="str">
        <f>"林威康"</f>
        <v>林威康</v>
      </c>
      <c r="F1554" s="7" t="str">
        <f t="shared" ref="F1554:F1560" si="372">"男"</f>
        <v>男</v>
      </c>
      <c r="G1554" s="7" t="s">
        <v>1367</v>
      </c>
      <c r="H1554" s="8"/>
    </row>
    <row r="1555" ht="25" customHeight="1" spans="1:8">
      <c r="A1555" s="6">
        <v>1553</v>
      </c>
      <c r="B1555" s="7" t="str">
        <f t="shared" si="362"/>
        <v>103</v>
      </c>
      <c r="C1555" s="7" t="s">
        <v>663</v>
      </c>
      <c r="D1555" s="7" t="s">
        <v>664</v>
      </c>
      <c r="E1555" s="7" t="str">
        <f>"李莹莹"</f>
        <v>李莹莹</v>
      </c>
      <c r="F1555" s="7" t="str">
        <f t="shared" ref="F1555:F1558" si="373">"女"</f>
        <v>女</v>
      </c>
      <c r="G1555" s="7" t="s">
        <v>1368</v>
      </c>
      <c r="H1555" s="8"/>
    </row>
    <row r="1556" ht="25" customHeight="1" spans="1:8">
      <c r="A1556" s="6">
        <v>1554</v>
      </c>
      <c r="B1556" s="7" t="str">
        <f t="shared" si="362"/>
        <v>103</v>
      </c>
      <c r="C1556" s="7" t="s">
        <v>663</v>
      </c>
      <c r="D1556" s="7" t="s">
        <v>664</v>
      </c>
      <c r="E1556" s="7" t="str">
        <f>"王慧芳"</f>
        <v>王慧芳</v>
      </c>
      <c r="F1556" s="7" t="str">
        <f t="shared" si="373"/>
        <v>女</v>
      </c>
      <c r="G1556" s="7" t="s">
        <v>1369</v>
      </c>
      <c r="H1556" s="8"/>
    </row>
    <row r="1557" ht="25" customHeight="1" spans="1:8">
      <c r="A1557" s="6">
        <v>1555</v>
      </c>
      <c r="B1557" s="7" t="str">
        <f t="shared" si="362"/>
        <v>103</v>
      </c>
      <c r="C1557" s="7" t="s">
        <v>663</v>
      </c>
      <c r="D1557" s="7" t="s">
        <v>664</v>
      </c>
      <c r="E1557" s="7" t="str">
        <f>"吴奇招"</f>
        <v>吴奇招</v>
      </c>
      <c r="F1557" s="7" t="str">
        <f t="shared" si="372"/>
        <v>男</v>
      </c>
      <c r="G1557" s="7" t="s">
        <v>1370</v>
      </c>
      <c r="H1557" s="8"/>
    </row>
    <row r="1558" ht="25" customHeight="1" spans="1:8">
      <c r="A1558" s="6">
        <v>1556</v>
      </c>
      <c r="B1558" s="7" t="str">
        <f t="shared" si="362"/>
        <v>103</v>
      </c>
      <c r="C1558" s="7" t="s">
        <v>663</v>
      </c>
      <c r="D1558" s="7" t="s">
        <v>664</v>
      </c>
      <c r="E1558" s="7" t="str">
        <f>"田宇"</f>
        <v>田宇</v>
      </c>
      <c r="F1558" s="7" t="str">
        <f t="shared" si="373"/>
        <v>女</v>
      </c>
      <c r="G1558" s="7" t="s">
        <v>1371</v>
      </c>
      <c r="H1558" s="8"/>
    </row>
    <row r="1559" ht="25" customHeight="1" spans="1:8">
      <c r="A1559" s="6">
        <v>1557</v>
      </c>
      <c r="B1559" s="7" t="str">
        <f t="shared" si="362"/>
        <v>103</v>
      </c>
      <c r="C1559" s="7" t="s">
        <v>663</v>
      </c>
      <c r="D1559" s="7" t="s">
        <v>664</v>
      </c>
      <c r="E1559" s="7" t="str">
        <f>"朱桐铖"</f>
        <v>朱桐铖</v>
      </c>
      <c r="F1559" s="7" t="str">
        <f t="shared" si="372"/>
        <v>男</v>
      </c>
      <c r="G1559" s="7" t="s">
        <v>1372</v>
      </c>
      <c r="H1559" s="8"/>
    </row>
    <row r="1560" ht="25" customHeight="1" spans="1:8">
      <c r="A1560" s="6">
        <v>1558</v>
      </c>
      <c r="B1560" s="7" t="str">
        <f t="shared" si="362"/>
        <v>103</v>
      </c>
      <c r="C1560" s="7" t="s">
        <v>663</v>
      </c>
      <c r="D1560" s="7" t="s">
        <v>664</v>
      </c>
      <c r="E1560" s="7" t="str">
        <f>"蔡仁壮"</f>
        <v>蔡仁壮</v>
      </c>
      <c r="F1560" s="7" t="str">
        <f t="shared" si="372"/>
        <v>男</v>
      </c>
      <c r="G1560" s="7" t="s">
        <v>1373</v>
      </c>
      <c r="H1560" s="8"/>
    </row>
    <row r="1561" ht="25" customHeight="1" spans="1:8">
      <c r="A1561" s="6">
        <v>1559</v>
      </c>
      <c r="B1561" s="7" t="str">
        <f t="shared" si="362"/>
        <v>103</v>
      </c>
      <c r="C1561" s="7" t="s">
        <v>663</v>
      </c>
      <c r="D1561" s="7" t="s">
        <v>664</v>
      </c>
      <c r="E1561" s="7" t="str">
        <f>"杨颖"</f>
        <v>杨颖</v>
      </c>
      <c r="F1561" s="7" t="str">
        <f t="shared" ref="F1561:F1563" si="374">"女"</f>
        <v>女</v>
      </c>
      <c r="G1561" s="7" t="s">
        <v>1374</v>
      </c>
      <c r="H1561" s="8"/>
    </row>
    <row r="1562" ht="25" customHeight="1" spans="1:8">
      <c r="A1562" s="6">
        <v>1560</v>
      </c>
      <c r="B1562" s="7" t="str">
        <f t="shared" si="362"/>
        <v>103</v>
      </c>
      <c r="C1562" s="7" t="s">
        <v>663</v>
      </c>
      <c r="D1562" s="7" t="s">
        <v>664</v>
      </c>
      <c r="E1562" s="7" t="str">
        <f>"李乔"</f>
        <v>李乔</v>
      </c>
      <c r="F1562" s="7" t="str">
        <f t="shared" si="374"/>
        <v>女</v>
      </c>
      <c r="G1562" s="7" t="s">
        <v>1375</v>
      </c>
      <c r="H1562" s="8"/>
    </row>
    <row r="1563" ht="25" customHeight="1" spans="1:8">
      <c r="A1563" s="6">
        <v>1561</v>
      </c>
      <c r="B1563" s="7" t="str">
        <f t="shared" si="362"/>
        <v>103</v>
      </c>
      <c r="C1563" s="7" t="s">
        <v>663</v>
      </c>
      <c r="D1563" s="7" t="s">
        <v>664</v>
      </c>
      <c r="E1563" s="7" t="str">
        <f>"雷蕾"</f>
        <v>雷蕾</v>
      </c>
      <c r="F1563" s="7" t="str">
        <f t="shared" si="374"/>
        <v>女</v>
      </c>
      <c r="G1563" s="7" t="s">
        <v>1376</v>
      </c>
      <c r="H1563" s="8"/>
    </row>
    <row r="1564" ht="25" customHeight="1" spans="1:8">
      <c r="A1564" s="6">
        <v>1562</v>
      </c>
      <c r="B1564" s="7" t="str">
        <f t="shared" si="362"/>
        <v>103</v>
      </c>
      <c r="C1564" s="7" t="s">
        <v>663</v>
      </c>
      <c r="D1564" s="7" t="s">
        <v>664</v>
      </c>
      <c r="E1564" s="7" t="str">
        <f>"林贵"</f>
        <v>林贵</v>
      </c>
      <c r="F1564" s="7" t="str">
        <f>"男"</f>
        <v>男</v>
      </c>
      <c r="G1564" s="7" t="s">
        <v>1377</v>
      </c>
      <c r="H1564" s="8"/>
    </row>
    <row r="1565" ht="25" customHeight="1" spans="1:8">
      <c r="A1565" s="6">
        <v>1563</v>
      </c>
      <c r="B1565" s="7" t="str">
        <f t="shared" si="362"/>
        <v>103</v>
      </c>
      <c r="C1565" s="7" t="s">
        <v>663</v>
      </c>
      <c r="D1565" s="7" t="s">
        <v>664</v>
      </c>
      <c r="E1565" s="7" t="str">
        <f>"余明耀"</f>
        <v>余明耀</v>
      </c>
      <c r="F1565" s="7" t="str">
        <f>"男"</f>
        <v>男</v>
      </c>
      <c r="G1565" s="7" t="s">
        <v>1378</v>
      </c>
      <c r="H1565" s="8"/>
    </row>
    <row r="1566" ht="25" customHeight="1" spans="1:8">
      <c r="A1566" s="6">
        <v>1564</v>
      </c>
      <c r="B1566" s="7" t="str">
        <f t="shared" si="362"/>
        <v>103</v>
      </c>
      <c r="C1566" s="7" t="s">
        <v>663</v>
      </c>
      <c r="D1566" s="7" t="s">
        <v>664</v>
      </c>
      <c r="E1566" s="7" t="str">
        <f>"王其幻"</f>
        <v>王其幻</v>
      </c>
      <c r="F1566" s="7" t="str">
        <f t="shared" ref="F1566:F1569" si="375">"女"</f>
        <v>女</v>
      </c>
      <c r="G1566" s="7" t="s">
        <v>1379</v>
      </c>
      <c r="H1566" s="8"/>
    </row>
    <row r="1567" ht="25" customHeight="1" spans="1:8">
      <c r="A1567" s="6">
        <v>1565</v>
      </c>
      <c r="B1567" s="7" t="str">
        <f t="shared" si="362"/>
        <v>103</v>
      </c>
      <c r="C1567" s="7" t="s">
        <v>663</v>
      </c>
      <c r="D1567" s="7" t="s">
        <v>664</v>
      </c>
      <c r="E1567" s="7" t="str">
        <f>"董雅快"</f>
        <v>董雅快</v>
      </c>
      <c r="F1567" s="7" t="str">
        <f t="shared" si="375"/>
        <v>女</v>
      </c>
      <c r="G1567" s="7" t="s">
        <v>1380</v>
      </c>
      <c r="H1567" s="8"/>
    </row>
    <row r="1568" ht="25" customHeight="1" spans="1:8">
      <c r="A1568" s="6">
        <v>1566</v>
      </c>
      <c r="B1568" s="7" t="str">
        <f t="shared" si="362"/>
        <v>103</v>
      </c>
      <c r="C1568" s="7" t="s">
        <v>663</v>
      </c>
      <c r="D1568" s="7" t="s">
        <v>664</v>
      </c>
      <c r="E1568" s="7" t="str">
        <f>"刘桐彤"</f>
        <v>刘桐彤</v>
      </c>
      <c r="F1568" s="7" t="str">
        <f t="shared" si="375"/>
        <v>女</v>
      </c>
      <c r="G1568" s="7" t="s">
        <v>1381</v>
      </c>
      <c r="H1568" s="8"/>
    </row>
    <row r="1569" ht="25" customHeight="1" spans="1:8">
      <c r="A1569" s="6">
        <v>1567</v>
      </c>
      <c r="B1569" s="7" t="str">
        <f t="shared" si="362"/>
        <v>103</v>
      </c>
      <c r="C1569" s="7" t="s">
        <v>663</v>
      </c>
      <c r="D1569" s="7" t="s">
        <v>664</v>
      </c>
      <c r="E1569" s="7" t="str">
        <f>"毛蕊"</f>
        <v>毛蕊</v>
      </c>
      <c r="F1569" s="7" t="str">
        <f t="shared" si="375"/>
        <v>女</v>
      </c>
      <c r="G1569" s="7" t="s">
        <v>1382</v>
      </c>
      <c r="H1569" s="8"/>
    </row>
    <row r="1570" ht="25" customHeight="1" spans="1:8">
      <c r="A1570" s="6">
        <v>1568</v>
      </c>
      <c r="B1570" s="7" t="str">
        <f t="shared" si="362"/>
        <v>103</v>
      </c>
      <c r="C1570" s="7" t="s">
        <v>663</v>
      </c>
      <c r="D1570" s="7" t="s">
        <v>664</v>
      </c>
      <c r="E1570" s="7" t="str">
        <f>"曾雪光"</f>
        <v>曾雪光</v>
      </c>
      <c r="F1570" s="7" t="str">
        <f t="shared" ref="F1570:F1575" si="376">"男"</f>
        <v>男</v>
      </c>
      <c r="G1570" s="7" t="s">
        <v>1270</v>
      </c>
      <c r="H1570" s="8"/>
    </row>
    <row r="1571" ht="25" customHeight="1" spans="1:8">
      <c r="A1571" s="6">
        <v>1569</v>
      </c>
      <c r="B1571" s="7" t="str">
        <f t="shared" si="362"/>
        <v>103</v>
      </c>
      <c r="C1571" s="7" t="s">
        <v>663</v>
      </c>
      <c r="D1571" s="7" t="s">
        <v>664</v>
      </c>
      <c r="E1571" s="7" t="str">
        <f>"罗江"</f>
        <v>罗江</v>
      </c>
      <c r="F1571" s="7" t="str">
        <f t="shared" si="376"/>
        <v>男</v>
      </c>
      <c r="G1571" s="7" t="s">
        <v>1383</v>
      </c>
      <c r="H1571" s="8"/>
    </row>
    <row r="1572" ht="25" customHeight="1" spans="1:8">
      <c r="A1572" s="6">
        <v>1570</v>
      </c>
      <c r="B1572" s="7" t="str">
        <f t="shared" si="362"/>
        <v>103</v>
      </c>
      <c r="C1572" s="7" t="s">
        <v>663</v>
      </c>
      <c r="D1572" s="7" t="s">
        <v>664</v>
      </c>
      <c r="E1572" s="7" t="str">
        <f>"杨文莲"</f>
        <v>杨文莲</v>
      </c>
      <c r="F1572" s="7" t="str">
        <f>"女"</f>
        <v>女</v>
      </c>
      <c r="G1572" s="7" t="s">
        <v>1046</v>
      </c>
      <c r="H1572" s="8"/>
    </row>
    <row r="1573" ht="25" customHeight="1" spans="1:8">
      <c r="A1573" s="6">
        <v>1571</v>
      </c>
      <c r="B1573" s="7" t="str">
        <f t="shared" si="362"/>
        <v>103</v>
      </c>
      <c r="C1573" s="7" t="s">
        <v>663</v>
      </c>
      <c r="D1573" s="7" t="s">
        <v>664</v>
      </c>
      <c r="E1573" s="7" t="str">
        <f>"林高平"</f>
        <v>林高平</v>
      </c>
      <c r="F1573" s="7" t="str">
        <f t="shared" si="376"/>
        <v>男</v>
      </c>
      <c r="G1573" s="7" t="s">
        <v>1384</v>
      </c>
      <c r="H1573" s="8"/>
    </row>
    <row r="1574" ht="25" customHeight="1" spans="1:8">
      <c r="A1574" s="6">
        <v>1572</v>
      </c>
      <c r="B1574" s="7" t="str">
        <f t="shared" si="362"/>
        <v>103</v>
      </c>
      <c r="C1574" s="7" t="s">
        <v>663</v>
      </c>
      <c r="D1574" s="7" t="s">
        <v>664</v>
      </c>
      <c r="E1574" s="7" t="str">
        <f>"文承鹏"</f>
        <v>文承鹏</v>
      </c>
      <c r="F1574" s="7" t="str">
        <f t="shared" si="376"/>
        <v>男</v>
      </c>
      <c r="G1574" s="7" t="s">
        <v>1385</v>
      </c>
      <c r="H1574" s="8"/>
    </row>
    <row r="1575" ht="25" customHeight="1" spans="1:8">
      <c r="A1575" s="6">
        <v>1573</v>
      </c>
      <c r="B1575" s="7" t="str">
        <f t="shared" si="362"/>
        <v>103</v>
      </c>
      <c r="C1575" s="7" t="s">
        <v>663</v>
      </c>
      <c r="D1575" s="7" t="s">
        <v>664</v>
      </c>
      <c r="E1575" s="7" t="str">
        <f>"罗典"</f>
        <v>罗典</v>
      </c>
      <c r="F1575" s="7" t="str">
        <f t="shared" si="376"/>
        <v>男</v>
      </c>
      <c r="G1575" s="7" t="s">
        <v>1386</v>
      </c>
      <c r="H1575" s="8"/>
    </row>
    <row r="1576" ht="25" customHeight="1" spans="1:8">
      <c r="A1576" s="6">
        <v>1574</v>
      </c>
      <c r="B1576" s="7" t="str">
        <f t="shared" ref="B1576:B1639" si="377">"103"</f>
        <v>103</v>
      </c>
      <c r="C1576" s="7" t="s">
        <v>663</v>
      </c>
      <c r="D1576" s="7" t="s">
        <v>664</v>
      </c>
      <c r="E1576" s="7" t="str">
        <f>"纪洋洋"</f>
        <v>纪洋洋</v>
      </c>
      <c r="F1576" s="7" t="str">
        <f t="shared" ref="F1576:F1581" si="378">"女"</f>
        <v>女</v>
      </c>
      <c r="G1576" s="7" t="s">
        <v>1387</v>
      </c>
      <c r="H1576" s="8"/>
    </row>
    <row r="1577" ht="25" customHeight="1" spans="1:8">
      <c r="A1577" s="6">
        <v>1575</v>
      </c>
      <c r="B1577" s="7" t="str">
        <f t="shared" si="377"/>
        <v>103</v>
      </c>
      <c r="C1577" s="7" t="s">
        <v>663</v>
      </c>
      <c r="D1577" s="7" t="s">
        <v>664</v>
      </c>
      <c r="E1577" s="7" t="str">
        <f>"吴卓杭"</f>
        <v>吴卓杭</v>
      </c>
      <c r="F1577" s="7" t="str">
        <f t="shared" ref="F1577:F1579" si="379">"男"</f>
        <v>男</v>
      </c>
      <c r="G1577" s="7" t="s">
        <v>1388</v>
      </c>
      <c r="H1577" s="8"/>
    </row>
    <row r="1578" ht="25" customHeight="1" spans="1:8">
      <c r="A1578" s="6">
        <v>1576</v>
      </c>
      <c r="B1578" s="7" t="str">
        <f t="shared" si="377"/>
        <v>103</v>
      </c>
      <c r="C1578" s="7" t="s">
        <v>663</v>
      </c>
      <c r="D1578" s="7" t="s">
        <v>664</v>
      </c>
      <c r="E1578" s="7" t="str">
        <f>"陆家斌"</f>
        <v>陆家斌</v>
      </c>
      <c r="F1578" s="7" t="str">
        <f t="shared" si="379"/>
        <v>男</v>
      </c>
      <c r="G1578" s="7" t="s">
        <v>1389</v>
      </c>
      <c r="H1578" s="8"/>
    </row>
    <row r="1579" ht="25" customHeight="1" spans="1:8">
      <c r="A1579" s="6">
        <v>1577</v>
      </c>
      <c r="B1579" s="7" t="str">
        <f t="shared" si="377"/>
        <v>103</v>
      </c>
      <c r="C1579" s="7" t="s">
        <v>663</v>
      </c>
      <c r="D1579" s="7" t="s">
        <v>664</v>
      </c>
      <c r="E1579" s="7" t="str">
        <f>"刘骏宇"</f>
        <v>刘骏宇</v>
      </c>
      <c r="F1579" s="7" t="str">
        <f t="shared" si="379"/>
        <v>男</v>
      </c>
      <c r="G1579" s="7" t="s">
        <v>1390</v>
      </c>
      <c r="H1579" s="8"/>
    </row>
    <row r="1580" ht="25" customHeight="1" spans="1:8">
      <c r="A1580" s="6">
        <v>1578</v>
      </c>
      <c r="B1580" s="7" t="str">
        <f t="shared" si="377"/>
        <v>103</v>
      </c>
      <c r="C1580" s="7" t="s">
        <v>663</v>
      </c>
      <c r="D1580" s="7" t="s">
        <v>664</v>
      </c>
      <c r="E1580" s="7" t="str">
        <f>"黄雪华"</f>
        <v>黄雪华</v>
      </c>
      <c r="F1580" s="7" t="str">
        <f t="shared" si="378"/>
        <v>女</v>
      </c>
      <c r="G1580" s="7" t="s">
        <v>1391</v>
      </c>
      <c r="H1580" s="8"/>
    </row>
    <row r="1581" ht="25" customHeight="1" spans="1:8">
      <c r="A1581" s="6">
        <v>1579</v>
      </c>
      <c r="B1581" s="7" t="str">
        <f t="shared" si="377"/>
        <v>103</v>
      </c>
      <c r="C1581" s="7" t="s">
        <v>663</v>
      </c>
      <c r="D1581" s="7" t="s">
        <v>664</v>
      </c>
      <c r="E1581" s="7" t="str">
        <f>"黎棉棉"</f>
        <v>黎棉棉</v>
      </c>
      <c r="F1581" s="7" t="str">
        <f t="shared" si="378"/>
        <v>女</v>
      </c>
      <c r="G1581" s="7" t="s">
        <v>1392</v>
      </c>
      <c r="H1581" s="8"/>
    </row>
    <row r="1582" ht="25" customHeight="1" spans="1:8">
      <c r="A1582" s="6">
        <v>1580</v>
      </c>
      <c r="B1582" s="7" t="str">
        <f t="shared" si="377"/>
        <v>103</v>
      </c>
      <c r="C1582" s="7" t="s">
        <v>663</v>
      </c>
      <c r="D1582" s="7" t="s">
        <v>664</v>
      </c>
      <c r="E1582" s="7" t="str">
        <f>"麦景"</f>
        <v>麦景</v>
      </c>
      <c r="F1582" s="7" t="str">
        <f t="shared" ref="F1582:F1586" si="380">"男"</f>
        <v>男</v>
      </c>
      <c r="G1582" s="7" t="s">
        <v>1393</v>
      </c>
      <c r="H1582" s="8"/>
    </row>
    <row r="1583" ht="25" customHeight="1" spans="1:8">
      <c r="A1583" s="6">
        <v>1581</v>
      </c>
      <c r="B1583" s="7" t="str">
        <f t="shared" si="377"/>
        <v>103</v>
      </c>
      <c r="C1583" s="7" t="s">
        <v>663</v>
      </c>
      <c r="D1583" s="7" t="s">
        <v>664</v>
      </c>
      <c r="E1583" s="7" t="str">
        <f>"陈家闻"</f>
        <v>陈家闻</v>
      </c>
      <c r="F1583" s="7" t="str">
        <f t="shared" si="380"/>
        <v>男</v>
      </c>
      <c r="G1583" s="7" t="s">
        <v>1394</v>
      </c>
      <c r="H1583" s="8"/>
    </row>
    <row r="1584" ht="25" customHeight="1" spans="1:8">
      <c r="A1584" s="6">
        <v>1582</v>
      </c>
      <c r="B1584" s="7" t="str">
        <f t="shared" si="377"/>
        <v>103</v>
      </c>
      <c r="C1584" s="7" t="s">
        <v>663</v>
      </c>
      <c r="D1584" s="7" t="s">
        <v>664</v>
      </c>
      <c r="E1584" s="7" t="str">
        <f>"周芝雅"</f>
        <v>周芝雅</v>
      </c>
      <c r="F1584" s="7" t="str">
        <f t="shared" ref="F1584:F1589" si="381">"女"</f>
        <v>女</v>
      </c>
      <c r="G1584" s="7" t="s">
        <v>1395</v>
      </c>
      <c r="H1584" s="8"/>
    </row>
    <row r="1585" ht="25" customHeight="1" spans="1:8">
      <c r="A1585" s="6">
        <v>1583</v>
      </c>
      <c r="B1585" s="7" t="str">
        <f t="shared" si="377"/>
        <v>103</v>
      </c>
      <c r="C1585" s="7" t="s">
        <v>663</v>
      </c>
      <c r="D1585" s="7" t="s">
        <v>664</v>
      </c>
      <c r="E1585" s="7" t="str">
        <f>"何乐源"</f>
        <v>何乐源</v>
      </c>
      <c r="F1585" s="7" t="str">
        <f t="shared" si="380"/>
        <v>男</v>
      </c>
      <c r="G1585" s="7" t="s">
        <v>1396</v>
      </c>
      <c r="H1585" s="8"/>
    </row>
    <row r="1586" ht="25" customHeight="1" spans="1:8">
      <c r="A1586" s="6">
        <v>1584</v>
      </c>
      <c r="B1586" s="7" t="str">
        <f t="shared" si="377"/>
        <v>103</v>
      </c>
      <c r="C1586" s="7" t="s">
        <v>663</v>
      </c>
      <c r="D1586" s="7" t="s">
        <v>664</v>
      </c>
      <c r="E1586" s="7" t="str">
        <f>"蔡栋桢"</f>
        <v>蔡栋桢</v>
      </c>
      <c r="F1586" s="7" t="str">
        <f t="shared" si="380"/>
        <v>男</v>
      </c>
      <c r="G1586" s="7" t="s">
        <v>1397</v>
      </c>
      <c r="H1586" s="8"/>
    </row>
    <row r="1587" ht="25" customHeight="1" spans="1:8">
      <c r="A1587" s="6">
        <v>1585</v>
      </c>
      <c r="B1587" s="7" t="str">
        <f t="shared" si="377"/>
        <v>103</v>
      </c>
      <c r="C1587" s="7" t="s">
        <v>663</v>
      </c>
      <c r="D1587" s="7" t="s">
        <v>664</v>
      </c>
      <c r="E1587" s="7" t="str">
        <f>"董敏雅"</f>
        <v>董敏雅</v>
      </c>
      <c r="F1587" s="7" t="str">
        <f t="shared" si="381"/>
        <v>女</v>
      </c>
      <c r="G1587" s="7" t="s">
        <v>1398</v>
      </c>
      <c r="H1587" s="8"/>
    </row>
    <row r="1588" ht="25" customHeight="1" spans="1:8">
      <c r="A1588" s="6">
        <v>1586</v>
      </c>
      <c r="B1588" s="7" t="str">
        <f t="shared" si="377"/>
        <v>103</v>
      </c>
      <c r="C1588" s="7" t="s">
        <v>663</v>
      </c>
      <c r="D1588" s="7" t="s">
        <v>664</v>
      </c>
      <c r="E1588" s="7" t="str">
        <f>"邓学东"</f>
        <v>邓学东</v>
      </c>
      <c r="F1588" s="7" t="str">
        <f>"男"</f>
        <v>男</v>
      </c>
      <c r="G1588" s="7" t="s">
        <v>1399</v>
      </c>
      <c r="H1588" s="8"/>
    </row>
    <row r="1589" ht="25" customHeight="1" spans="1:8">
      <c r="A1589" s="6">
        <v>1587</v>
      </c>
      <c r="B1589" s="7" t="str">
        <f t="shared" si="377"/>
        <v>103</v>
      </c>
      <c r="C1589" s="7" t="s">
        <v>663</v>
      </c>
      <c r="D1589" s="7" t="s">
        <v>664</v>
      </c>
      <c r="E1589" s="7" t="str">
        <f>"秦安楠"</f>
        <v>秦安楠</v>
      </c>
      <c r="F1589" s="7" t="str">
        <f t="shared" si="381"/>
        <v>女</v>
      </c>
      <c r="G1589" s="7" t="s">
        <v>1400</v>
      </c>
      <c r="H1589" s="8"/>
    </row>
    <row r="1590" ht="25" customHeight="1" spans="1:8">
      <c r="A1590" s="6">
        <v>1588</v>
      </c>
      <c r="B1590" s="7" t="str">
        <f t="shared" si="377"/>
        <v>103</v>
      </c>
      <c r="C1590" s="7" t="s">
        <v>663</v>
      </c>
      <c r="D1590" s="7" t="s">
        <v>664</v>
      </c>
      <c r="E1590" s="7" t="str">
        <f>"林鑫"</f>
        <v>林鑫</v>
      </c>
      <c r="F1590" s="7" t="str">
        <f>"男"</f>
        <v>男</v>
      </c>
      <c r="G1590" s="7" t="s">
        <v>251</v>
      </c>
      <c r="H1590" s="8"/>
    </row>
    <row r="1591" ht="25" customHeight="1" spans="1:8">
      <c r="A1591" s="6">
        <v>1589</v>
      </c>
      <c r="B1591" s="7" t="str">
        <f t="shared" si="377"/>
        <v>103</v>
      </c>
      <c r="C1591" s="7" t="s">
        <v>663</v>
      </c>
      <c r="D1591" s="7" t="s">
        <v>664</v>
      </c>
      <c r="E1591" s="7" t="str">
        <f>"吴雅琦"</f>
        <v>吴雅琦</v>
      </c>
      <c r="F1591" s="7" t="str">
        <f t="shared" ref="F1591:F1596" si="382">"女"</f>
        <v>女</v>
      </c>
      <c r="G1591" s="7" t="s">
        <v>1379</v>
      </c>
      <c r="H1591" s="8"/>
    </row>
    <row r="1592" ht="25" customHeight="1" spans="1:8">
      <c r="A1592" s="6">
        <v>1590</v>
      </c>
      <c r="B1592" s="7" t="str">
        <f t="shared" si="377"/>
        <v>103</v>
      </c>
      <c r="C1592" s="7" t="s">
        <v>663</v>
      </c>
      <c r="D1592" s="7" t="s">
        <v>664</v>
      </c>
      <c r="E1592" s="7" t="str">
        <f>"余梅玲"</f>
        <v>余梅玲</v>
      </c>
      <c r="F1592" s="7" t="str">
        <f t="shared" si="382"/>
        <v>女</v>
      </c>
      <c r="G1592" s="7" t="s">
        <v>1401</v>
      </c>
      <c r="H1592" s="8"/>
    </row>
    <row r="1593" ht="25" customHeight="1" spans="1:8">
      <c r="A1593" s="6">
        <v>1591</v>
      </c>
      <c r="B1593" s="7" t="str">
        <f t="shared" si="377"/>
        <v>103</v>
      </c>
      <c r="C1593" s="7" t="s">
        <v>663</v>
      </c>
      <c r="D1593" s="7" t="s">
        <v>664</v>
      </c>
      <c r="E1593" s="7" t="str">
        <f>"符伟桢"</f>
        <v>符伟桢</v>
      </c>
      <c r="F1593" s="7" t="str">
        <f t="shared" si="382"/>
        <v>女</v>
      </c>
      <c r="G1593" s="7" t="s">
        <v>308</v>
      </c>
      <c r="H1593" s="8"/>
    </row>
    <row r="1594" ht="25" customHeight="1" spans="1:8">
      <c r="A1594" s="6">
        <v>1592</v>
      </c>
      <c r="B1594" s="7" t="str">
        <f t="shared" si="377"/>
        <v>103</v>
      </c>
      <c r="C1594" s="7" t="s">
        <v>663</v>
      </c>
      <c r="D1594" s="7" t="s">
        <v>664</v>
      </c>
      <c r="E1594" s="7" t="str">
        <f>"羊丽燕"</f>
        <v>羊丽燕</v>
      </c>
      <c r="F1594" s="7" t="str">
        <f t="shared" si="382"/>
        <v>女</v>
      </c>
      <c r="G1594" s="7" t="s">
        <v>1402</v>
      </c>
      <c r="H1594" s="8"/>
    </row>
    <row r="1595" ht="25" customHeight="1" spans="1:8">
      <c r="A1595" s="6">
        <v>1593</v>
      </c>
      <c r="B1595" s="7" t="str">
        <f t="shared" si="377"/>
        <v>103</v>
      </c>
      <c r="C1595" s="7" t="s">
        <v>663</v>
      </c>
      <c r="D1595" s="7" t="s">
        <v>664</v>
      </c>
      <c r="E1595" s="7" t="str">
        <f>"郭文玲"</f>
        <v>郭文玲</v>
      </c>
      <c r="F1595" s="7" t="str">
        <f t="shared" si="382"/>
        <v>女</v>
      </c>
      <c r="G1595" s="7" t="s">
        <v>1403</v>
      </c>
      <c r="H1595" s="8"/>
    </row>
    <row r="1596" ht="25" customHeight="1" spans="1:8">
      <c r="A1596" s="6">
        <v>1594</v>
      </c>
      <c r="B1596" s="7" t="str">
        <f t="shared" si="377"/>
        <v>103</v>
      </c>
      <c r="C1596" s="7" t="s">
        <v>663</v>
      </c>
      <c r="D1596" s="7" t="s">
        <v>664</v>
      </c>
      <c r="E1596" s="7" t="str">
        <f>"周惠敏"</f>
        <v>周惠敏</v>
      </c>
      <c r="F1596" s="7" t="str">
        <f t="shared" si="382"/>
        <v>女</v>
      </c>
      <c r="G1596" s="7" t="s">
        <v>1404</v>
      </c>
      <c r="H1596" s="8"/>
    </row>
    <row r="1597" ht="25" customHeight="1" spans="1:8">
      <c r="A1597" s="6">
        <v>1595</v>
      </c>
      <c r="B1597" s="7" t="str">
        <f t="shared" si="377"/>
        <v>103</v>
      </c>
      <c r="C1597" s="7" t="s">
        <v>663</v>
      </c>
      <c r="D1597" s="7" t="s">
        <v>664</v>
      </c>
      <c r="E1597" s="7" t="str">
        <f>"潘在颜"</f>
        <v>潘在颜</v>
      </c>
      <c r="F1597" s="7" t="str">
        <f t="shared" ref="F1597:F1603" si="383">"男"</f>
        <v>男</v>
      </c>
      <c r="G1597" s="7" t="s">
        <v>1405</v>
      </c>
      <c r="H1597" s="8"/>
    </row>
    <row r="1598" ht="25" customHeight="1" spans="1:8">
      <c r="A1598" s="6">
        <v>1596</v>
      </c>
      <c r="B1598" s="7" t="str">
        <f t="shared" si="377"/>
        <v>103</v>
      </c>
      <c r="C1598" s="7" t="s">
        <v>663</v>
      </c>
      <c r="D1598" s="7" t="s">
        <v>664</v>
      </c>
      <c r="E1598" s="7" t="str">
        <f>"胡慧敏"</f>
        <v>胡慧敏</v>
      </c>
      <c r="F1598" s="7" t="str">
        <f t="shared" ref="F1598:F1601" si="384">"女"</f>
        <v>女</v>
      </c>
      <c r="G1598" s="7" t="s">
        <v>1406</v>
      </c>
      <c r="H1598" s="8"/>
    </row>
    <row r="1599" ht="25" customHeight="1" spans="1:8">
      <c r="A1599" s="6">
        <v>1597</v>
      </c>
      <c r="B1599" s="7" t="str">
        <f t="shared" si="377"/>
        <v>103</v>
      </c>
      <c r="C1599" s="7" t="s">
        <v>663</v>
      </c>
      <c r="D1599" s="7" t="s">
        <v>664</v>
      </c>
      <c r="E1599" s="7" t="str">
        <f>"涂衡新"</f>
        <v>涂衡新</v>
      </c>
      <c r="F1599" s="7" t="str">
        <f t="shared" si="383"/>
        <v>男</v>
      </c>
      <c r="G1599" s="7" t="s">
        <v>1407</v>
      </c>
      <c r="H1599" s="8"/>
    </row>
    <row r="1600" ht="25" customHeight="1" spans="1:8">
      <c r="A1600" s="6">
        <v>1598</v>
      </c>
      <c r="B1600" s="7" t="str">
        <f t="shared" si="377"/>
        <v>103</v>
      </c>
      <c r="C1600" s="7" t="s">
        <v>663</v>
      </c>
      <c r="D1600" s="7" t="s">
        <v>664</v>
      </c>
      <c r="E1600" s="7" t="str">
        <f>"梁佳艺"</f>
        <v>梁佳艺</v>
      </c>
      <c r="F1600" s="7" t="str">
        <f t="shared" si="384"/>
        <v>女</v>
      </c>
      <c r="G1600" s="7" t="s">
        <v>1408</v>
      </c>
      <c r="H1600" s="8"/>
    </row>
    <row r="1601" ht="25" customHeight="1" spans="1:8">
      <c r="A1601" s="6">
        <v>1599</v>
      </c>
      <c r="B1601" s="7" t="str">
        <f t="shared" si="377"/>
        <v>103</v>
      </c>
      <c r="C1601" s="7" t="s">
        <v>663</v>
      </c>
      <c r="D1601" s="7" t="s">
        <v>664</v>
      </c>
      <c r="E1601" s="7" t="str">
        <f>"王小灵"</f>
        <v>王小灵</v>
      </c>
      <c r="F1601" s="7" t="str">
        <f t="shared" si="384"/>
        <v>女</v>
      </c>
      <c r="G1601" s="7" t="s">
        <v>1409</v>
      </c>
      <c r="H1601" s="8"/>
    </row>
    <row r="1602" ht="25" customHeight="1" spans="1:8">
      <c r="A1602" s="6">
        <v>1600</v>
      </c>
      <c r="B1602" s="7" t="str">
        <f t="shared" si="377"/>
        <v>103</v>
      </c>
      <c r="C1602" s="7" t="s">
        <v>663</v>
      </c>
      <c r="D1602" s="7" t="s">
        <v>664</v>
      </c>
      <c r="E1602" s="7" t="str">
        <f>"李赞业"</f>
        <v>李赞业</v>
      </c>
      <c r="F1602" s="7" t="str">
        <f t="shared" si="383"/>
        <v>男</v>
      </c>
      <c r="G1602" s="7" t="s">
        <v>1410</v>
      </c>
      <c r="H1602" s="8"/>
    </row>
    <row r="1603" ht="25" customHeight="1" spans="1:8">
      <c r="A1603" s="6">
        <v>1601</v>
      </c>
      <c r="B1603" s="7" t="str">
        <f t="shared" si="377"/>
        <v>103</v>
      </c>
      <c r="C1603" s="7" t="s">
        <v>663</v>
      </c>
      <c r="D1603" s="7" t="s">
        <v>664</v>
      </c>
      <c r="E1603" s="7" t="str">
        <f>"柏国中"</f>
        <v>柏国中</v>
      </c>
      <c r="F1603" s="7" t="str">
        <f t="shared" si="383"/>
        <v>男</v>
      </c>
      <c r="G1603" s="7" t="s">
        <v>1411</v>
      </c>
      <c r="H1603" s="8"/>
    </row>
    <row r="1604" ht="25" customHeight="1" spans="1:8">
      <c r="A1604" s="6">
        <v>1602</v>
      </c>
      <c r="B1604" s="7" t="str">
        <f t="shared" si="377"/>
        <v>103</v>
      </c>
      <c r="C1604" s="7" t="s">
        <v>663</v>
      </c>
      <c r="D1604" s="7" t="s">
        <v>664</v>
      </c>
      <c r="E1604" s="7" t="str">
        <f>"潘德欣"</f>
        <v>潘德欣</v>
      </c>
      <c r="F1604" s="7" t="str">
        <f t="shared" ref="F1604:F1610" si="385">"女"</f>
        <v>女</v>
      </c>
      <c r="G1604" s="7" t="s">
        <v>1412</v>
      </c>
      <c r="H1604" s="8"/>
    </row>
    <row r="1605" ht="25" customHeight="1" spans="1:8">
      <c r="A1605" s="6">
        <v>1603</v>
      </c>
      <c r="B1605" s="7" t="str">
        <f t="shared" si="377"/>
        <v>103</v>
      </c>
      <c r="C1605" s="7" t="s">
        <v>663</v>
      </c>
      <c r="D1605" s="7" t="s">
        <v>664</v>
      </c>
      <c r="E1605" s="7" t="str">
        <f>"马澍宇"</f>
        <v>马澍宇</v>
      </c>
      <c r="F1605" s="7" t="str">
        <f t="shared" si="385"/>
        <v>女</v>
      </c>
      <c r="G1605" s="7" t="s">
        <v>1413</v>
      </c>
      <c r="H1605" s="8"/>
    </row>
    <row r="1606" ht="25" customHeight="1" spans="1:8">
      <c r="A1606" s="6">
        <v>1604</v>
      </c>
      <c r="B1606" s="7" t="str">
        <f t="shared" si="377"/>
        <v>103</v>
      </c>
      <c r="C1606" s="7" t="s">
        <v>663</v>
      </c>
      <c r="D1606" s="7" t="s">
        <v>664</v>
      </c>
      <c r="E1606" s="7" t="str">
        <f>"李雷腾"</f>
        <v>李雷腾</v>
      </c>
      <c r="F1606" s="7" t="str">
        <f>"男"</f>
        <v>男</v>
      </c>
      <c r="G1606" s="7" t="s">
        <v>1414</v>
      </c>
      <c r="H1606" s="8"/>
    </row>
    <row r="1607" ht="25" customHeight="1" spans="1:8">
      <c r="A1607" s="6">
        <v>1605</v>
      </c>
      <c r="B1607" s="7" t="str">
        <f t="shared" si="377"/>
        <v>103</v>
      </c>
      <c r="C1607" s="7" t="s">
        <v>663</v>
      </c>
      <c r="D1607" s="7" t="s">
        <v>664</v>
      </c>
      <c r="E1607" s="7" t="str">
        <f>"睢翊"</f>
        <v>睢翊</v>
      </c>
      <c r="F1607" s="7" t="str">
        <f t="shared" si="385"/>
        <v>女</v>
      </c>
      <c r="G1607" s="7" t="s">
        <v>1415</v>
      </c>
      <c r="H1607" s="8"/>
    </row>
    <row r="1608" ht="25" customHeight="1" spans="1:8">
      <c r="A1608" s="6">
        <v>1606</v>
      </c>
      <c r="B1608" s="7" t="str">
        <f t="shared" si="377"/>
        <v>103</v>
      </c>
      <c r="C1608" s="7" t="s">
        <v>663</v>
      </c>
      <c r="D1608" s="7" t="s">
        <v>664</v>
      </c>
      <c r="E1608" s="7" t="str">
        <f>"龙慧"</f>
        <v>龙慧</v>
      </c>
      <c r="F1608" s="7" t="str">
        <f t="shared" si="385"/>
        <v>女</v>
      </c>
      <c r="G1608" s="7" t="s">
        <v>1416</v>
      </c>
      <c r="H1608" s="8"/>
    </row>
    <row r="1609" ht="25" customHeight="1" spans="1:8">
      <c r="A1609" s="6">
        <v>1607</v>
      </c>
      <c r="B1609" s="7" t="str">
        <f t="shared" si="377"/>
        <v>103</v>
      </c>
      <c r="C1609" s="7" t="s">
        <v>663</v>
      </c>
      <c r="D1609" s="7" t="s">
        <v>664</v>
      </c>
      <c r="E1609" s="7" t="str">
        <f>"麦正青"</f>
        <v>麦正青</v>
      </c>
      <c r="F1609" s="7" t="str">
        <f t="shared" si="385"/>
        <v>女</v>
      </c>
      <c r="G1609" s="7" t="s">
        <v>1417</v>
      </c>
      <c r="H1609" s="8"/>
    </row>
    <row r="1610" ht="25" customHeight="1" spans="1:8">
      <c r="A1610" s="6">
        <v>1608</v>
      </c>
      <c r="B1610" s="7" t="str">
        <f t="shared" si="377"/>
        <v>103</v>
      </c>
      <c r="C1610" s="7" t="s">
        <v>663</v>
      </c>
      <c r="D1610" s="7" t="s">
        <v>664</v>
      </c>
      <c r="E1610" s="7" t="str">
        <f>"颜薇"</f>
        <v>颜薇</v>
      </c>
      <c r="F1610" s="7" t="str">
        <f t="shared" si="385"/>
        <v>女</v>
      </c>
      <c r="G1610" s="7" t="s">
        <v>1418</v>
      </c>
      <c r="H1610" s="8"/>
    </row>
    <row r="1611" ht="25" customHeight="1" spans="1:8">
      <c r="A1611" s="6">
        <v>1609</v>
      </c>
      <c r="B1611" s="7" t="str">
        <f t="shared" si="377"/>
        <v>103</v>
      </c>
      <c r="C1611" s="7" t="s">
        <v>663</v>
      </c>
      <c r="D1611" s="7" t="s">
        <v>664</v>
      </c>
      <c r="E1611" s="7" t="str">
        <f>"范宇豪"</f>
        <v>范宇豪</v>
      </c>
      <c r="F1611" s="7" t="str">
        <f>"男"</f>
        <v>男</v>
      </c>
      <c r="G1611" s="7" t="s">
        <v>1419</v>
      </c>
      <c r="H1611" s="8"/>
    </row>
    <row r="1612" ht="25" customHeight="1" spans="1:8">
      <c r="A1612" s="6">
        <v>1610</v>
      </c>
      <c r="B1612" s="7" t="str">
        <f t="shared" si="377"/>
        <v>103</v>
      </c>
      <c r="C1612" s="7" t="s">
        <v>663</v>
      </c>
      <c r="D1612" s="7" t="s">
        <v>664</v>
      </c>
      <c r="E1612" s="7" t="str">
        <f>"邓琦川"</f>
        <v>邓琦川</v>
      </c>
      <c r="F1612" s="7" t="str">
        <f>"男"</f>
        <v>男</v>
      </c>
      <c r="G1612" s="7" t="s">
        <v>1420</v>
      </c>
      <c r="H1612" s="8"/>
    </row>
    <row r="1613" ht="25" customHeight="1" spans="1:8">
      <c r="A1613" s="6">
        <v>1611</v>
      </c>
      <c r="B1613" s="7" t="str">
        <f t="shared" si="377"/>
        <v>103</v>
      </c>
      <c r="C1613" s="7" t="s">
        <v>663</v>
      </c>
      <c r="D1613" s="7" t="s">
        <v>664</v>
      </c>
      <c r="E1613" s="7" t="str">
        <f>"孙铭阳"</f>
        <v>孙铭阳</v>
      </c>
      <c r="F1613" s="7" t="str">
        <f t="shared" ref="F1613:F1616" si="386">"女"</f>
        <v>女</v>
      </c>
      <c r="G1613" s="7" t="s">
        <v>1421</v>
      </c>
      <c r="H1613" s="8"/>
    </row>
    <row r="1614" ht="25" customHeight="1" spans="1:8">
      <c r="A1614" s="6">
        <v>1612</v>
      </c>
      <c r="B1614" s="7" t="str">
        <f t="shared" si="377"/>
        <v>103</v>
      </c>
      <c r="C1614" s="7" t="s">
        <v>663</v>
      </c>
      <c r="D1614" s="7" t="s">
        <v>664</v>
      </c>
      <c r="E1614" s="7" t="str">
        <f>"许欢欢"</f>
        <v>许欢欢</v>
      </c>
      <c r="F1614" s="7" t="str">
        <f t="shared" si="386"/>
        <v>女</v>
      </c>
      <c r="G1614" s="7" t="s">
        <v>1092</v>
      </c>
      <c r="H1614" s="8"/>
    </row>
    <row r="1615" ht="25" customHeight="1" spans="1:8">
      <c r="A1615" s="6">
        <v>1613</v>
      </c>
      <c r="B1615" s="7" t="str">
        <f t="shared" si="377"/>
        <v>103</v>
      </c>
      <c r="C1615" s="7" t="s">
        <v>663</v>
      </c>
      <c r="D1615" s="7" t="s">
        <v>664</v>
      </c>
      <c r="E1615" s="7" t="str">
        <f>"林小红"</f>
        <v>林小红</v>
      </c>
      <c r="F1615" s="7" t="str">
        <f t="shared" si="386"/>
        <v>女</v>
      </c>
      <c r="G1615" s="7" t="s">
        <v>1422</v>
      </c>
      <c r="H1615" s="8"/>
    </row>
    <row r="1616" ht="25" customHeight="1" spans="1:8">
      <c r="A1616" s="6">
        <v>1614</v>
      </c>
      <c r="B1616" s="7" t="str">
        <f t="shared" si="377"/>
        <v>103</v>
      </c>
      <c r="C1616" s="7" t="s">
        <v>663</v>
      </c>
      <c r="D1616" s="7" t="s">
        <v>664</v>
      </c>
      <c r="E1616" s="7" t="str">
        <f>"韩娟"</f>
        <v>韩娟</v>
      </c>
      <c r="F1616" s="7" t="str">
        <f t="shared" si="386"/>
        <v>女</v>
      </c>
      <c r="G1616" s="7" t="s">
        <v>654</v>
      </c>
      <c r="H1616" s="8"/>
    </row>
    <row r="1617" ht="25" customHeight="1" spans="1:8">
      <c r="A1617" s="6">
        <v>1615</v>
      </c>
      <c r="B1617" s="7" t="str">
        <f t="shared" si="377"/>
        <v>103</v>
      </c>
      <c r="C1617" s="7" t="s">
        <v>663</v>
      </c>
      <c r="D1617" s="7" t="s">
        <v>664</v>
      </c>
      <c r="E1617" s="7" t="str">
        <f>"谢一科"</f>
        <v>谢一科</v>
      </c>
      <c r="F1617" s="7" t="str">
        <f t="shared" ref="F1617:F1621" si="387">"男"</f>
        <v>男</v>
      </c>
      <c r="G1617" s="7" t="s">
        <v>1423</v>
      </c>
      <c r="H1617" s="8"/>
    </row>
    <row r="1618" ht="25" customHeight="1" spans="1:8">
      <c r="A1618" s="6">
        <v>1616</v>
      </c>
      <c r="B1618" s="7" t="str">
        <f t="shared" si="377"/>
        <v>103</v>
      </c>
      <c r="C1618" s="7" t="s">
        <v>663</v>
      </c>
      <c r="D1618" s="7" t="s">
        <v>664</v>
      </c>
      <c r="E1618" s="7" t="str">
        <f>"梁达辉"</f>
        <v>梁达辉</v>
      </c>
      <c r="F1618" s="7" t="str">
        <f t="shared" si="387"/>
        <v>男</v>
      </c>
      <c r="G1618" s="7" t="s">
        <v>1424</v>
      </c>
      <c r="H1618" s="8"/>
    </row>
    <row r="1619" ht="25" customHeight="1" spans="1:8">
      <c r="A1619" s="6">
        <v>1617</v>
      </c>
      <c r="B1619" s="7" t="str">
        <f t="shared" si="377"/>
        <v>103</v>
      </c>
      <c r="C1619" s="7" t="s">
        <v>663</v>
      </c>
      <c r="D1619" s="7" t="s">
        <v>664</v>
      </c>
      <c r="E1619" s="7" t="str">
        <f>"钟祥萧"</f>
        <v>钟祥萧</v>
      </c>
      <c r="F1619" s="7" t="str">
        <f t="shared" ref="F1619:F1623" si="388">"女"</f>
        <v>女</v>
      </c>
      <c r="G1619" s="7" t="s">
        <v>1278</v>
      </c>
      <c r="H1619" s="8"/>
    </row>
    <row r="1620" ht="25" customHeight="1" spans="1:8">
      <c r="A1620" s="6">
        <v>1618</v>
      </c>
      <c r="B1620" s="7" t="str">
        <f t="shared" si="377"/>
        <v>103</v>
      </c>
      <c r="C1620" s="7" t="s">
        <v>663</v>
      </c>
      <c r="D1620" s="7" t="s">
        <v>664</v>
      </c>
      <c r="E1620" s="7" t="str">
        <f>"欧秀蓝"</f>
        <v>欧秀蓝</v>
      </c>
      <c r="F1620" s="7" t="str">
        <f t="shared" si="388"/>
        <v>女</v>
      </c>
      <c r="G1620" s="7" t="s">
        <v>643</v>
      </c>
      <c r="H1620" s="8"/>
    </row>
    <row r="1621" ht="25" customHeight="1" spans="1:8">
      <c r="A1621" s="6">
        <v>1619</v>
      </c>
      <c r="B1621" s="7" t="str">
        <f t="shared" si="377"/>
        <v>103</v>
      </c>
      <c r="C1621" s="7" t="s">
        <v>663</v>
      </c>
      <c r="D1621" s="7" t="s">
        <v>664</v>
      </c>
      <c r="E1621" s="7" t="str">
        <f>"张翼飞"</f>
        <v>张翼飞</v>
      </c>
      <c r="F1621" s="7" t="str">
        <f t="shared" si="387"/>
        <v>男</v>
      </c>
      <c r="G1621" s="7" t="s">
        <v>1425</v>
      </c>
      <c r="H1621" s="8"/>
    </row>
    <row r="1622" ht="25" customHeight="1" spans="1:8">
      <c r="A1622" s="6">
        <v>1620</v>
      </c>
      <c r="B1622" s="7" t="str">
        <f t="shared" si="377"/>
        <v>103</v>
      </c>
      <c r="C1622" s="7" t="s">
        <v>663</v>
      </c>
      <c r="D1622" s="7" t="s">
        <v>664</v>
      </c>
      <c r="E1622" s="7" t="str">
        <f>"董科利"</f>
        <v>董科利</v>
      </c>
      <c r="F1622" s="7" t="str">
        <f t="shared" si="388"/>
        <v>女</v>
      </c>
      <c r="G1622" s="7" t="s">
        <v>581</v>
      </c>
      <c r="H1622" s="8"/>
    </row>
    <row r="1623" ht="25" customHeight="1" spans="1:8">
      <c r="A1623" s="6">
        <v>1621</v>
      </c>
      <c r="B1623" s="7" t="str">
        <f t="shared" si="377"/>
        <v>103</v>
      </c>
      <c r="C1623" s="7" t="s">
        <v>663</v>
      </c>
      <c r="D1623" s="7" t="s">
        <v>664</v>
      </c>
      <c r="E1623" s="7" t="str">
        <f>"梁明子"</f>
        <v>梁明子</v>
      </c>
      <c r="F1623" s="7" t="str">
        <f t="shared" si="388"/>
        <v>女</v>
      </c>
      <c r="G1623" s="7" t="s">
        <v>1426</v>
      </c>
      <c r="H1623" s="8"/>
    </row>
    <row r="1624" ht="25" customHeight="1" spans="1:8">
      <c r="A1624" s="6">
        <v>1622</v>
      </c>
      <c r="B1624" s="7" t="str">
        <f t="shared" si="377"/>
        <v>103</v>
      </c>
      <c r="C1624" s="7" t="s">
        <v>663</v>
      </c>
      <c r="D1624" s="7" t="s">
        <v>664</v>
      </c>
      <c r="E1624" s="7" t="str">
        <f>"宁智文"</f>
        <v>宁智文</v>
      </c>
      <c r="F1624" s="7" t="str">
        <f t="shared" ref="F1624:F1627" si="389">"男"</f>
        <v>男</v>
      </c>
      <c r="G1624" s="7" t="s">
        <v>1427</v>
      </c>
      <c r="H1624" s="8"/>
    </row>
    <row r="1625" ht="25" customHeight="1" spans="1:8">
      <c r="A1625" s="6">
        <v>1623</v>
      </c>
      <c r="B1625" s="7" t="str">
        <f t="shared" si="377"/>
        <v>103</v>
      </c>
      <c r="C1625" s="7" t="s">
        <v>663</v>
      </c>
      <c r="D1625" s="7" t="s">
        <v>664</v>
      </c>
      <c r="E1625" s="7" t="str">
        <f>"方苗琳"</f>
        <v>方苗琳</v>
      </c>
      <c r="F1625" s="7" t="str">
        <f t="shared" ref="F1625:F1633" si="390">"女"</f>
        <v>女</v>
      </c>
      <c r="G1625" s="7" t="s">
        <v>1428</v>
      </c>
      <c r="H1625" s="8"/>
    </row>
    <row r="1626" ht="25" customHeight="1" spans="1:8">
      <c r="A1626" s="6">
        <v>1624</v>
      </c>
      <c r="B1626" s="7" t="str">
        <f t="shared" si="377"/>
        <v>103</v>
      </c>
      <c r="C1626" s="7" t="s">
        <v>663</v>
      </c>
      <c r="D1626" s="7" t="s">
        <v>664</v>
      </c>
      <c r="E1626" s="7" t="str">
        <f>"符式军"</f>
        <v>符式军</v>
      </c>
      <c r="F1626" s="7" t="str">
        <f t="shared" si="389"/>
        <v>男</v>
      </c>
      <c r="G1626" s="7" t="s">
        <v>1429</v>
      </c>
      <c r="H1626" s="8"/>
    </row>
    <row r="1627" ht="25" customHeight="1" spans="1:8">
      <c r="A1627" s="6">
        <v>1625</v>
      </c>
      <c r="B1627" s="7" t="str">
        <f t="shared" si="377"/>
        <v>103</v>
      </c>
      <c r="C1627" s="7" t="s">
        <v>663</v>
      </c>
      <c r="D1627" s="7" t="s">
        <v>664</v>
      </c>
      <c r="E1627" s="7" t="str">
        <f>"吴孔明"</f>
        <v>吴孔明</v>
      </c>
      <c r="F1627" s="7" t="str">
        <f t="shared" si="389"/>
        <v>男</v>
      </c>
      <c r="G1627" s="7" t="s">
        <v>1430</v>
      </c>
      <c r="H1627" s="8"/>
    </row>
    <row r="1628" ht="25" customHeight="1" spans="1:8">
      <c r="A1628" s="6">
        <v>1626</v>
      </c>
      <c r="B1628" s="7" t="str">
        <f t="shared" si="377"/>
        <v>103</v>
      </c>
      <c r="C1628" s="7" t="s">
        <v>663</v>
      </c>
      <c r="D1628" s="7" t="s">
        <v>664</v>
      </c>
      <c r="E1628" s="7" t="str">
        <f>"张美琪"</f>
        <v>张美琪</v>
      </c>
      <c r="F1628" s="7" t="str">
        <f t="shared" si="390"/>
        <v>女</v>
      </c>
      <c r="G1628" s="7" t="s">
        <v>1431</v>
      </c>
      <c r="H1628" s="8"/>
    </row>
    <row r="1629" ht="25" customHeight="1" spans="1:8">
      <c r="A1629" s="6">
        <v>1627</v>
      </c>
      <c r="B1629" s="7" t="str">
        <f t="shared" si="377"/>
        <v>103</v>
      </c>
      <c r="C1629" s="7" t="s">
        <v>663</v>
      </c>
      <c r="D1629" s="7" t="s">
        <v>664</v>
      </c>
      <c r="E1629" s="7" t="str">
        <f>"李欣欣"</f>
        <v>李欣欣</v>
      </c>
      <c r="F1629" s="7" t="str">
        <f t="shared" si="390"/>
        <v>女</v>
      </c>
      <c r="G1629" s="7" t="s">
        <v>1432</v>
      </c>
      <c r="H1629" s="8"/>
    </row>
    <row r="1630" ht="25" customHeight="1" spans="1:8">
      <c r="A1630" s="6">
        <v>1628</v>
      </c>
      <c r="B1630" s="7" t="str">
        <f t="shared" si="377"/>
        <v>103</v>
      </c>
      <c r="C1630" s="7" t="s">
        <v>663</v>
      </c>
      <c r="D1630" s="7" t="s">
        <v>664</v>
      </c>
      <c r="E1630" s="7" t="str">
        <f>"韩佳芹"</f>
        <v>韩佳芹</v>
      </c>
      <c r="F1630" s="7" t="str">
        <f t="shared" si="390"/>
        <v>女</v>
      </c>
      <c r="G1630" s="7" t="s">
        <v>132</v>
      </c>
      <c r="H1630" s="8"/>
    </row>
    <row r="1631" ht="25" customHeight="1" spans="1:8">
      <c r="A1631" s="6">
        <v>1629</v>
      </c>
      <c r="B1631" s="7" t="str">
        <f t="shared" si="377"/>
        <v>103</v>
      </c>
      <c r="C1631" s="7" t="s">
        <v>663</v>
      </c>
      <c r="D1631" s="7" t="s">
        <v>664</v>
      </c>
      <c r="E1631" s="7" t="str">
        <f>"荣婕"</f>
        <v>荣婕</v>
      </c>
      <c r="F1631" s="7" t="str">
        <f t="shared" si="390"/>
        <v>女</v>
      </c>
      <c r="G1631" s="7" t="s">
        <v>376</v>
      </c>
      <c r="H1631" s="8"/>
    </row>
    <row r="1632" ht="25" customHeight="1" spans="1:8">
      <c r="A1632" s="6">
        <v>1630</v>
      </c>
      <c r="B1632" s="7" t="str">
        <f t="shared" si="377"/>
        <v>103</v>
      </c>
      <c r="C1632" s="7" t="s">
        <v>663</v>
      </c>
      <c r="D1632" s="7" t="s">
        <v>664</v>
      </c>
      <c r="E1632" s="7" t="str">
        <f>"曹爱诗"</f>
        <v>曹爱诗</v>
      </c>
      <c r="F1632" s="7" t="str">
        <f t="shared" si="390"/>
        <v>女</v>
      </c>
      <c r="G1632" s="7" t="s">
        <v>1433</v>
      </c>
      <c r="H1632" s="8"/>
    </row>
    <row r="1633" ht="25" customHeight="1" spans="1:8">
      <c r="A1633" s="6">
        <v>1631</v>
      </c>
      <c r="B1633" s="7" t="str">
        <f t="shared" si="377"/>
        <v>103</v>
      </c>
      <c r="C1633" s="7" t="s">
        <v>663</v>
      </c>
      <c r="D1633" s="7" t="s">
        <v>664</v>
      </c>
      <c r="E1633" s="7" t="str">
        <f>"刘佳"</f>
        <v>刘佳</v>
      </c>
      <c r="F1633" s="7" t="str">
        <f t="shared" si="390"/>
        <v>女</v>
      </c>
      <c r="G1633" s="7" t="s">
        <v>1434</v>
      </c>
      <c r="H1633" s="8"/>
    </row>
    <row r="1634" ht="25" customHeight="1" spans="1:8">
      <c r="A1634" s="6">
        <v>1632</v>
      </c>
      <c r="B1634" s="7" t="str">
        <f t="shared" si="377"/>
        <v>103</v>
      </c>
      <c r="C1634" s="7" t="s">
        <v>663</v>
      </c>
      <c r="D1634" s="7" t="s">
        <v>664</v>
      </c>
      <c r="E1634" s="7" t="str">
        <f>"叶金城"</f>
        <v>叶金城</v>
      </c>
      <c r="F1634" s="7" t="str">
        <f t="shared" ref="F1634:F1637" si="391">"男"</f>
        <v>男</v>
      </c>
      <c r="G1634" s="7" t="s">
        <v>1435</v>
      </c>
      <c r="H1634" s="8"/>
    </row>
    <row r="1635" ht="25" customHeight="1" spans="1:8">
      <c r="A1635" s="6">
        <v>1633</v>
      </c>
      <c r="B1635" s="7" t="str">
        <f t="shared" si="377"/>
        <v>103</v>
      </c>
      <c r="C1635" s="7" t="s">
        <v>663</v>
      </c>
      <c r="D1635" s="7" t="s">
        <v>664</v>
      </c>
      <c r="E1635" s="7" t="str">
        <f>"涂征"</f>
        <v>涂征</v>
      </c>
      <c r="F1635" s="7" t="str">
        <f t="shared" ref="F1635:F1639" si="392">"女"</f>
        <v>女</v>
      </c>
      <c r="G1635" s="7" t="s">
        <v>1436</v>
      </c>
      <c r="H1635" s="8"/>
    </row>
    <row r="1636" ht="25" customHeight="1" spans="1:8">
      <c r="A1636" s="6">
        <v>1634</v>
      </c>
      <c r="B1636" s="7" t="str">
        <f t="shared" si="377"/>
        <v>103</v>
      </c>
      <c r="C1636" s="7" t="s">
        <v>663</v>
      </c>
      <c r="D1636" s="7" t="s">
        <v>664</v>
      </c>
      <c r="E1636" s="7" t="str">
        <f>"陈雄福"</f>
        <v>陈雄福</v>
      </c>
      <c r="F1636" s="7" t="str">
        <f t="shared" si="391"/>
        <v>男</v>
      </c>
      <c r="G1636" s="7" t="s">
        <v>1437</v>
      </c>
      <c r="H1636" s="8"/>
    </row>
    <row r="1637" ht="25" customHeight="1" spans="1:8">
      <c r="A1637" s="6">
        <v>1635</v>
      </c>
      <c r="B1637" s="7" t="str">
        <f t="shared" si="377"/>
        <v>103</v>
      </c>
      <c r="C1637" s="7" t="s">
        <v>663</v>
      </c>
      <c r="D1637" s="7" t="s">
        <v>664</v>
      </c>
      <c r="E1637" s="7" t="str">
        <f>"林绍东"</f>
        <v>林绍东</v>
      </c>
      <c r="F1637" s="7" t="str">
        <f t="shared" si="391"/>
        <v>男</v>
      </c>
      <c r="G1637" s="7" t="s">
        <v>1438</v>
      </c>
      <c r="H1637" s="8"/>
    </row>
    <row r="1638" ht="25" customHeight="1" spans="1:8">
      <c r="A1638" s="6">
        <v>1636</v>
      </c>
      <c r="B1638" s="7" t="str">
        <f t="shared" si="377"/>
        <v>103</v>
      </c>
      <c r="C1638" s="7" t="s">
        <v>663</v>
      </c>
      <c r="D1638" s="7" t="s">
        <v>664</v>
      </c>
      <c r="E1638" s="7" t="str">
        <f>"唐瑞梦"</f>
        <v>唐瑞梦</v>
      </c>
      <c r="F1638" s="7" t="str">
        <f t="shared" si="392"/>
        <v>女</v>
      </c>
      <c r="G1638" s="7" t="s">
        <v>507</v>
      </c>
      <c r="H1638" s="8"/>
    </row>
    <row r="1639" ht="25" customHeight="1" spans="1:8">
      <c r="A1639" s="6">
        <v>1637</v>
      </c>
      <c r="B1639" s="7" t="str">
        <f t="shared" si="377"/>
        <v>103</v>
      </c>
      <c r="C1639" s="7" t="s">
        <v>663</v>
      </c>
      <c r="D1639" s="7" t="s">
        <v>664</v>
      </c>
      <c r="E1639" s="7" t="str">
        <f>"许志茹"</f>
        <v>许志茹</v>
      </c>
      <c r="F1639" s="7" t="str">
        <f t="shared" si="392"/>
        <v>女</v>
      </c>
      <c r="G1639" s="7" t="s">
        <v>1439</v>
      </c>
      <c r="H1639" s="8"/>
    </row>
    <row r="1640" ht="25" customHeight="1" spans="1:8">
      <c r="A1640" s="6">
        <v>1638</v>
      </c>
      <c r="B1640" s="7" t="str">
        <f t="shared" ref="B1640:B1703" si="393">"103"</f>
        <v>103</v>
      </c>
      <c r="C1640" s="7" t="s">
        <v>663</v>
      </c>
      <c r="D1640" s="7" t="s">
        <v>664</v>
      </c>
      <c r="E1640" s="7" t="str">
        <f>"庞学磊"</f>
        <v>庞学磊</v>
      </c>
      <c r="F1640" s="7" t="str">
        <f t="shared" ref="F1640:F1645" si="394">"男"</f>
        <v>男</v>
      </c>
      <c r="G1640" s="7" t="s">
        <v>1353</v>
      </c>
      <c r="H1640" s="8"/>
    </row>
    <row r="1641" ht="25" customHeight="1" spans="1:8">
      <c r="A1641" s="6">
        <v>1639</v>
      </c>
      <c r="B1641" s="7" t="str">
        <f t="shared" si="393"/>
        <v>103</v>
      </c>
      <c r="C1641" s="7" t="s">
        <v>663</v>
      </c>
      <c r="D1641" s="7" t="s">
        <v>664</v>
      </c>
      <c r="E1641" s="7" t="str">
        <f>"陈林"</f>
        <v>陈林</v>
      </c>
      <c r="F1641" s="7" t="str">
        <f t="shared" ref="F1641:F1644" si="395">"女"</f>
        <v>女</v>
      </c>
      <c r="G1641" s="7" t="s">
        <v>1440</v>
      </c>
      <c r="H1641" s="8"/>
    </row>
    <row r="1642" ht="25" customHeight="1" spans="1:8">
      <c r="A1642" s="6">
        <v>1640</v>
      </c>
      <c r="B1642" s="7" t="str">
        <f t="shared" si="393"/>
        <v>103</v>
      </c>
      <c r="C1642" s="7" t="s">
        <v>663</v>
      </c>
      <c r="D1642" s="7" t="s">
        <v>664</v>
      </c>
      <c r="E1642" s="7" t="str">
        <f>"周杰"</f>
        <v>周杰</v>
      </c>
      <c r="F1642" s="7" t="str">
        <f t="shared" si="394"/>
        <v>男</v>
      </c>
      <c r="G1642" s="7" t="s">
        <v>192</v>
      </c>
      <c r="H1642" s="8"/>
    </row>
    <row r="1643" ht="25" customHeight="1" spans="1:8">
      <c r="A1643" s="6">
        <v>1641</v>
      </c>
      <c r="B1643" s="7" t="str">
        <f t="shared" si="393"/>
        <v>103</v>
      </c>
      <c r="C1643" s="7" t="s">
        <v>663</v>
      </c>
      <c r="D1643" s="7" t="s">
        <v>664</v>
      </c>
      <c r="E1643" s="7" t="str">
        <f>"董利师"</f>
        <v>董利师</v>
      </c>
      <c r="F1643" s="7" t="str">
        <f t="shared" si="395"/>
        <v>女</v>
      </c>
      <c r="G1643" s="7" t="s">
        <v>1441</v>
      </c>
      <c r="H1643" s="8"/>
    </row>
    <row r="1644" ht="25" customHeight="1" spans="1:8">
      <c r="A1644" s="6">
        <v>1642</v>
      </c>
      <c r="B1644" s="7" t="str">
        <f t="shared" si="393"/>
        <v>103</v>
      </c>
      <c r="C1644" s="7" t="s">
        <v>663</v>
      </c>
      <c r="D1644" s="7" t="s">
        <v>664</v>
      </c>
      <c r="E1644" s="7" t="str">
        <f>"吴晓盈"</f>
        <v>吴晓盈</v>
      </c>
      <c r="F1644" s="7" t="str">
        <f t="shared" si="395"/>
        <v>女</v>
      </c>
      <c r="G1644" s="7" t="s">
        <v>1442</v>
      </c>
      <c r="H1644" s="8"/>
    </row>
    <row r="1645" ht="25" customHeight="1" spans="1:8">
      <c r="A1645" s="6">
        <v>1643</v>
      </c>
      <c r="B1645" s="7" t="str">
        <f t="shared" si="393"/>
        <v>103</v>
      </c>
      <c r="C1645" s="7" t="s">
        <v>663</v>
      </c>
      <c r="D1645" s="7" t="s">
        <v>664</v>
      </c>
      <c r="E1645" s="7" t="str">
        <f>"李皓昕"</f>
        <v>李皓昕</v>
      </c>
      <c r="F1645" s="7" t="str">
        <f t="shared" si="394"/>
        <v>男</v>
      </c>
      <c r="G1645" s="7" t="s">
        <v>1443</v>
      </c>
      <c r="H1645" s="8"/>
    </row>
    <row r="1646" ht="25" customHeight="1" spans="1:8">
      <c r="A1646" s="6">
        <v>1644</v>
      </c>
      <c r="B1646" s="7" t="str">
        <f t="shared" si="393"/>
        <v>103</v>
      </c>
      <c r="C1646" s="7" t="s">
        <v>663</v>
      </c>
      <c r="D1646" s="7" t="s">
        <v>664</v>
      </c>
      <c r="E1646" s="7" t="str">
        <f>"林芯"</f>
        <v>林芯</v>
      </c>
      <c r="F1646" s="7" t="str">
        <f>"女"</f>
        <v>女</v>
      </c>
      <c r="G1646" s="7" t="s">
        <v>1444</v>
      </c>
      <c r="H1646" s="8"/>
    </row>
    <row r="1647" ht="25" customHeight="1" spans="1:8">
      <c r="A1647" s="6">
        <v>1645</v>
      </c>
      <c r="B1647" s="7" t="str">
        <f t="shared" si="393"/>
        <v>103</v>
      </c>
      <c r="C1647" s="7" t="s">
        <v>663</v>
      </c>
      <c r="D1647" s="7" t="s">
        <v>664</v>
      </c>
      <c r="E1647" s="7" t="str">
        <f>"邢增东"</f>
        <v>邢增东</v>
      </c>
      <c r="F1647" s="7" t="str">
        <f t="shared" ref="F1647:F1651" si="396">"男"</f>
        <v>男</v>
      </c>
      <c r="G1647" s="7" t="s">
        <v>1445</v>
      </c>
      <c r="H1647" s="8"/>
    </row>
    <row r="1648" ht="25" customHeight="1" spans="1:8">
      <c r="A1648" s="6">
        <v>1646</v>
      </c>
      <c r="B1648" s="7" t="str">
        <f t="shared" si="393"/>
        <v>103</v>
      </c>
      <c r="C1648" s="7" t="s">
        <v>663</v>
      </c>
      <c r="D1648" s="7" t="s">
        <v>664</v>
      </c>
      <c r="E1648" s="7" t="str">
        <f>"陈海珠"</f>
        <v>陈海珠</v>
      </c>
      <c r="F1648" s="7" t="str">
        <f t="shared" ref="F1648:F1658" si="397">"女"</f>
        <v>女</v>
      </c>
      <c r="G1648" s="7" t="s">
        <v>1446</v>
      </c>
      <c r="H1648" s="8"/>
    </row>
    <row r="1649" ht="25" customHeight="1" spans="1:8">
      <c r="A1649" s="6">
        <v>1647</v>
      </c>
      <c r="B1649" s="7" t="str">
        <f t="shared" si="393"/>
        <v>103</v>
      </c>
      <c r="C1649" s="7" t="s">
        <v>663</v>
      </c>
      <c r="D1649" s="7" t="s">
        <v>664</v>
      </c>
      <c r="E1649" s="7" t="str">
        <f>"王家驹"</f>
        <v>王家驹</v>
      </c>
      <c r="F1649" s="7" t="str">
        <f t="shared" si="396"/>
        <v>男</v>
      </c>
      <c r="G1649" s="7" t="s">
        <v>1447</v>
      </c>
      <c r="H1649" s="8"/>
    </row>
    <row r="1650" ht="25" customHeight="1" spans="1:8">
      <c r="A1650" s="6">
        <v>1648</v>
      </c>
      <c r="B1650" s="7" t="str">
        <f t="shared" si="393"/>
        <v>103</v>
      </c>
      <c r="C1650" s="7" t="s">
        <v>663</v>
      </c>
      <c r="D1650" s="7" t="s">
        <v>664</v>
      </c>
      <c r="E1650" s="7" t="str">
        <f>"高世华"</f>
        <v>高世华</v>
      </c>
      <c r="F1650" s="7" t="str">
        <f t="shared" si="396"/>
        <v>男</v>
      </c>
      <c r="G1650" s="7" t="s">
        <v>1448</v>
      </c>
      <c r="H1650" s="8"/>
    </row>
    <row r="1651" ht="25" customHeight="1" spans="1:8">
      <c r="A1651" s="6">
        <v>1649</v>
      </c>
      <c r="B1651" s="7" t="str">
        <f t="shared" si="393"/>
        <v>103</v>
      </c>
      <c r="C1651" s="7" t="s">
        <v>663</v>
      </c>
      <c r="D1651" s="7" t="s">
        <v>664</v>
      </c>
      <c r="E1651" s="7" t="str">
        <f>"陆善培"</f>
        <v>陆善培</v>
      </c>
      <c r="F1651" s="7" t="str">
        <f t="shared" si="396"/>
        <v>男</v>
      </c>
      <c r="G1651" s="7" t="s">
        <v>1449</v>
      </c>
      <c r="H1651" s="8"/>
    </row>
    <row r="1652" ht="25" customHeight="1" spans="1:8">
      <c r="A1652" s="6">
        <v>1650</v>
      </c>
      <c r="B1652" s="7" t="str">
        <f t="shared" si="393"/>
        <v>103</v>
      </c>
      <c r="C1652" s="7" t="s">
        <v>663</v>
      </c>
      <c r="D1652" s="7" t="s">
        <v>664</v>
      </c>
      <c r="E1652" s="7" t="str">
        <f>"吕磊"</f>
        <v>吕磊</v>
      </c>
      <c r="F1652" s="7" t="str">
        <f t="shared" si="397"/>
        <v>女</v>
      </c>
      <c r="G1652" s="7" t="s">
        <v>1450</v>
      </c>
      <c r="H1652" s="8"/>
    </row>
    <row r="1653" ht="25" customHeight="1" spans="1:8">
      <c r="A1653" s="6">
        <v>1651</v>
      </c>
      <c r="B1653" s="7" t="str">
        <f t="shared" si="393"/>
        <v>103</v>
      </c>
      <c r="C1653" s="7" t="s">
        <v>663</v>
      </c>
      <c r="D1653" s="7" t="s">
        <v>664</v>
      </c>
      <c r="E1653" s="7" t="str">
        <f>"麦谊灵"</f>
        <v>麦谊灵</v>
      </c>
      <c r="F1653" s="7" t="str">
        <f t="shared" si="397"/>
        <v>女</v>
      </c>
      <c r="G1653" s="7" t="s">
        <v>1451</v>
      </c>
      <c r="H1653" s="8"/>
    </row>
    <row r="1654" ht="25" customHeight="1" spans="1:8">
      <c r="A1654" s="6">
        <v>1652</v>
      </c>
      <c r="B1654" s="7" t="str">
        <f t="shared" si="393"/>
        <v>103</v>
      </c>
      <c r="C1654" s="7" t="s">
        <v>663</v>
      </c>
      <c r="D1654" s="7" t="s">
        <v>664</v>
      </c>
      <c r="E1654" s="7" t="str">
        <f>"封美仪"</f>
        <v>封美仪</v>
      </c>
      <c r="F1654" s="7" t="str">
        <f t="shared" si="397"/>
        <v>女</v>
      </c>
      <c r="G1654" s="7" t="s">
        <v>1452</v>
      </c>
      <c r="H1654" s="8"/>
    </row>
    <row r="1655" ht="25" customHeight="1" spans="1:8">
      <c r="A1655" s="6">
        <v>1653</v>
      </c>
      <c r="B1655" s="7" t="str">
        <f t="shared" si="393"/>
        <v>103</v>
      </c>
      <c r="C1655" s="7" t="s">
        <v>663</v>
      </c>
      <c r="D1655" s="7" t="s">
        <v>664</v>
      </c>
      <c r="E1655" s="7" t="str">
        <f>"杨丽丽"</f>
        <v>杨丽丽</v>
      </c>
      <c r="F1655" s="7" t="str">
        <f t="shared" si="397"/>
        <v>女</v>
      </c>
      <c r="G1655" s="7" t="s">
        <v>1453</v>
      </c>
      <c r="H1655" s="8"/>
    </row>
    <row r="1656" ht="25" customHeight="1" spans="1:8">
      <c r="A1656" s="6">
        <v>1654</v>
      </c>
      <c r="B1656" s="7" t="str">
        <f t="shared" si="393"/>
        <v>103</v>
      </c>
      <c r="C1656" s="7" t="s">
        <v>663</v>
      </c>
      <c r="D1656" s="7" t="s">
        <v>664</v>
      </c>
      <c r="E1656" s="7" t="str">
        <f>"符爱钰"</f>
        <v>符爱钰</v>
      </c>
      <c r="F1656" s="7" t="str">
        <f t="shared" si="397"/>
        <v>女</v>
      </c>
      <c r="G1656" s="7" t="s">
        <v>1454</v>
      </c>
      <c r="H1656" s="8"/>
    </row>
    <row r="1657" ht="25" customHeight="1" spans="1:8">
      <c r="A1657" s="6">
        <v>1655</v>
      </c>
      <c r="B1657" s="7" t="str">
        <f t="shared" si="393"/>
        <v>103</v>
      </c>
      <c r="C1657" s="7" t="s">
        <v>663</v>
      </c>
      <c r="D1657" s="7" t="s">
        <v>664</v>
      </c>
      <c r="E1657" s="7" t="str">
        <f>"林菁华"</f>
        <v>林菁华</v>
      </c>
      <c r="F1657" s="7" t="str">
        <f t="shared" si="397"/>
        <v>女</v>
      </c>
      <c r="G1657" s="7" t="s">
        <v>1455</v>
      </c>
      <c r="H1657" s="8"/>
    </row>
    <row r="1658" ht="25" customHeight="1" spans="1:8">
      <c r="A1658" s="6">
        <v>1656</v>
      </c>
      <c r="B1658" s="7" t="str">
        <f t="shared" si="393"/>
        <v>103</v>
      </c>
      <c r="C1658" s="7" t="s">
        <v>663</v>
      </c>
      <c r="D1658" s="7" t="s">
        <v>664</v>
      </c>
      <c r="E1658" s="7" t="str">
        <f>"徐盛娟"</f>
        <v>徐盛娟</v>
      </c>
      <c r="F1658" s="7" t="str">
        <f t="shared" si="397"/>
        <v>女</v>
      </c>
      <c r="G1658" s="7" t="s">
        <v>802</v>
      </c>
      <c r="H1658" s="8"/>
    </row>
    <row r="1659" ht="25" customHeight="1" spans="1:8">
      <c r="A1659" s="6">
        <v>1657</v>
      </c>
      <c r="B1659" s="7" t="str">
        <f t="shared" si="393"/>
        <v>103</v>
      </c>
      <c r="C1659" s="7" t="s">
        <v>663</v>
      </c>
      <c r="D1659" s="7" t="s">
        <v>664</v>
      </c>
      <c r="E1659" s="7" t="str">
        <f>"唐俊"</f>
        <v>唐俊</v>
      </c>
      <c r="F1659" s="7" t="str">
        <f t="shared" ref="F1659:F1663" si="398">"男"</f>
        <v>男</v>
      </c>
      <c r="G1659" s="7" t="s">
        <v>1456</v>
      </c>
      <c r="H1659" s="8"/>
    </row>
    <row r="1660" ht="25" customHeight="1" spans="1:8">
      <c r="A1660" s="6">
        <v>1658</v>
      </c>
      <c r="B1660" s="7" t="str">
        <f t="shared" si="393"/>
        <v>103</v>
      </c>
      <c r="C1660" s="7" t="s">
        <v>663</v>
      </c>
      <c r="D1660" s="7" t="s">
        <v>664</v>
      </c>
      <c r="E1660" s="7" t="str">
        <f>"唐爱芳"</f>
        <v>唐爱芳</v>
      </c>
      <c r="F1660" s="7" t="str">
        <f t="shared" ref="F1660:F1668" si="399">"女"</f>
        <v>女</v>
      </c>
      <c r="G1660" s="7" t="s">
        <v>1457</v>
      </c>
      <c r="H1660" s="8"/>
    </row>
    <row r="1661" ht="25" customHeight="1" spans="1:8">
      <c r="A1661" s="6">
        <v>1659</v>
      </c>
      <c r="B1661" s="7" t="str">
        <f t="shared" si="393"/>
        <v>103</v>
      </c>
      <c r="C1661" s="7" t="s">
        <v>663</v>
      </c>
      <c r="D1661" s="7" t="s">
        <v>664</v>
      </c>
      <c r="E1661" s="7" t="str">
        <f>"麦贤抒"</f>
        <v>麦贤抒</v>
      </c>
      <c r="F1661" s="7" t="str">
        <f t="shared" si="398"/>
        <v>男</v>
      </c>
      <c r="G1661" s="7" t="s">
        <v>1458</v>
      </c>
      <c r="H1661" s="8"/>
    </row>
    <row r="1662" ht="25" customHeight="1" spans="1:8">
      <c r="A1662" s="6">
        <v>1660</v>
      </c>
      <c r="B1662" s="7" t="str">
        <f t="shared" si="393"/>
        <v>103</v>
      </c>
      <c r="C1662" s="7" t="s">
        <v>663</v>
      </c>
      <c r="D1662" s="7" t="s">
        <v>664</v>
      </c>
      <c r="E1662" s="7" t="str">
        <f>"张茜茜"</f>
        <v>张茜茜</v>
      </c>
      <c r="F1662" s="7" t="str">
        <f t="shared" si="399"/>
        <v>女</v>
      </c>
      <c r="G1662" s="7" t="s">
        <v>1459</v>
      </c>
      <c r="H1662" s="8"/>
    </row>
    <row r="1663" ht="25" customHeight="1" spans="1:8">
      <c r="A1663" s="6">
        <v>1661</v>
      </c>
      <c r="B1663" s="7" t="str">
        <f t="shared" si="393"/>
        <v>103</v>
      </c>
      <c r="C1663" s="7" t="s">
        <v>663</v>
      </c>
      <c r="D1663" s="7" t="s">
        <v>664</v>
      </c>
      <c r="E1663" s="7" t="str">
        <f>"王德锟"</f>
        <v>王德锟</v>
      </c>
      <c r="F1663" s="7" t="str">
        <f t="shared" si="398"/>
        <v>男</v>
      </c>
      <c r="G1663" s="7" t="s">
        <v>598</v>
      </c>
      <c r="H1663" s="8"/>
    </row>
    <row r="1664" ht="25" customHeight="1" spans="1:8">
      <c r="A1664" s="6">
        <v>1662</v>
      </c>
      <c r="B1664" s="7" t="str">
        <f t="shared" si="393"/>
        <v>103</v>
      </c>
      <c r="C1664" s="7" t="s">
        <v>663</v>
      </c>
      <c r="D1664" s="7" t="s">
        <v>664</v>
      </c>
      <c r="E1664" s="7" t="str">
        <f>"温荷"</f>
        <v>温荷</v>
      </c>
      <c r="F1664" s="7" t="str">
        <f t="shared" si="399"/>
        <v>女</v>
      </c>
      <c r="G1664" s="7" t="s">
        <v>1460</v>
      </c>
      <c r="H1664" s="8"/>
    </row>
    <row r="1665" ht="25" customHeight="1" spans="1:8">
      <c r="A1665" s="6">
        <v>1663</v>
      </c>
      <c r="B1665" s="7" t="str">
        <f t="shared" si="393"/>
        <v>103</v>
      </c>
      <c r="C1665" s="7" t="s">
        <v>663</v>
      </c>
      <c r="D1665" s="7" t="s">
        <v>664</v>
      </c>
      <c r="E1665" s="7" t="str">
        <f>"孙江艳"</f>
        <v>孙江艳</v>
      </c>
      <c r="F1665" s="7" t="str">
        <f t="shared" si="399"/>
        <v>女</v>
      </c>
      <c r="G1665" s="7" t="s">
        <v>733</v>
      </c>
      <c r="H1665" s="8"/>
    </row>
    <row r="1666" ht="25" customHeight="1" spans="1:8">
      <c r="A1666" s="6">
        <v>1664</v>
      </c>
      <c r="B1666" s="7" t="str">
        <f t="shared" si="393"/>
        <v>103</v>
      </c>
      <c r="C1666" s="7" t="s">
        <v>663</v>
      </c>
      <c r="D1666" s="7" t="s">
        <v>664</v>
      </c>
      <c r="E1666" s="7" t="str">
        <f>"胡小燕"</f>
        <v>胡小燕</v>
      </c>
      <c r="F1666" s="7" t="str">
        <f t="shared" si="399"/>
        <v>女</v>
      </c>
      <c r="G1666" s="7" t="s">
        <v>899</v>
      </c>
      <c r="H1666" s="8"/>
    </row>
    <row r="1667" ht="25" customHeight="1" spans="1:8">
      <c r="A1667" s="6">
        <v>1665</v>
      </c>
      <c r="B1667" s="7" t="str">
        <f t="shared" si="393"/>
        <v>103</v>
      </c>
      <c r="C1667" s="7" t="s">
        <v>663</v>
      </c>
      <c r="D1667" s="7" t="s">
        <v>664</v>
      </c>
      <c r="E1667" s="7" t="str">
        <f>"罗崇紫"</f>
        <v>罗崇紫</v>
      </c>
      <c r="F1667" s="7" t="str">
        <f t="shared" si="399"/>
        <v>女</v>
      </c>
      <c r="G1667" s="7" t="s">
        <v>1461</v>
      </c>
      <c r="H1667" s="8"/>
    </row>
    <row r="1668" ht="25" customHeight="1" spans="1:8">
      <c r="A1668" s="6">
        <v>1666</v>
      </c>
      <c r="B1668" s="7" t="str">
        <f t="shared" si="393"/>
        <v>103</v>
      </c>
      <c r="C1668" s="7" t="s">
        <v>663</v>
      </c>
      <c r="D1668" s="7" t="s">
        <v>664</v>
      </c>
      <c r="E1668" s="7" t="str">
        <f>"黎俊钰"</f>
        <v>黎俊钰</v>
      </c>
      <c r="F1668" s="7" t="str">
        <f t="shared" si="399"/>
        <v>女</v>
      </c>
      <c r="G1668" s="7" t="s">
        <v>552</v>
      </c>
      <c r="H1668" s="8"/>
    </row>
    <row r="1669" ht="25" customHeight="1" spans="1:8">
      <c r="A1669" s="6">
        <v>1667</v>
      </c>
      <c r="B1669" s="7" t="str">
        <f t="shared" si="393"/>
        <v>103</v>
      </c>
      <c r="C1669" s="7" t="s">
        <v>663</v>
      </c>
      <c r="D1669" s="7" t="s">
        <v>664</v>
      </c>
      <c r="E1669" s="7" t="str">
        <f>"吴钟民"</f>
        <v>吴钟民</v>
      </c>
      <c r="F1669" s="7" t="str">
        <f t="shared" ref="F1669:F1675" si="400">"男"</f>
        <v>男</v>
      </c>
      <c r="G1669" s="7" t="s">
        <v>1462</v>
      </c>
      <c r="H1669" s="8"/>
    </row>
    <row r="1670" ht="25" customHeight="1" spans="1:8">
      <c r="A1670" s="6">
        <v>1668</v>
      </c>
      <c r="B1670" s="7" t="str">
        <f t="shared" si="393"/>
        <v>103</v>
      </c>
      <c r="C1670" s="7" t="s">
        <v>663</v>
      </c>
      <c r="D1670" s="7" t="s">
        <v>664</v>
      </c>
      <c r="E1670" s="7" t="str">
        <f>"吴挺鹤"</f>
        <v>吴挺鹤</v>
      </c>
      <c r="F1670" s="7" t="str">
        <f t="shared" si="400"/>
        <v>男</v>
      </c>
      <c r="G1670" s="7" t="s">
        <v>22</v>
      </c>
      <c r="H1670" s="8"/>
    </row>
    <row r="1671" ht="25" customHeight="1" spans="1:8">
      <c r="A1671" s="6">
        <v>1669</v>
      </c>
      <c r="B1671" s="7" t="str">
        <f t="shared" si="393"/>
        <v>103</v>
      </c>
      <c r="C1671" s="7" t="s">
        <v>663</v>
      </c>
      <c r="D1671" s="7" t="s">
        <v>664</v>
      </c>
      <c r="E1671" s="7" t="str">
        <f>"黄滢滢"</f>
        <v>黄滢滢</v>
      </c>
      <c r="F1671" s="7" t="str">
        <f t="shared" ref="F1671:F1673" si="401">"女"</f>
        <v>女</v>
      </c>
      <c r="G1671" s="7" t="s">
        <v>1198</v>
      </c>
      <c r="H1671" s="8"/>
    </row>
    <row r="1672" ht="25" customHeight="1" spans="1:8">
      <c r="A1672" s="6">
        <v>1670</v>
      </c>
      <c r="B1672" s="7" t="str">
        <f t="shared" si="393"/>
        <v>103</v>
      </c>
      <c r="C1672" s="7" t="s">
        <v>663</v>
      </c>
      <c r="D1672" s="7" t="s">
        <v>664</v>
      </c>
      <c r="E1672" s="7" t="str">
        <f>"杨梦"</f>
        <v>杨梦</v>
      </c>
      <c r="F1672" s="7" t="str">
        <f t="shared" si="401"/>
        <v>女</v>
      </c>
      <c r="G1672" s="7" t="s">
        <v>1463</v>
      </c>
      <c r="H1672" s="8"/>
    </row>
    <row r="1673" ht="25" customHeight="1" spans="1:8">
      <c r="A1673" s="6">
        <v>1671</v>
      </c>
      <c r="B1673" s="7" t="str">
        <f t="shared" si="393"/>
        <v>103</v>
      </c>
      <c r="C1673" s="7" t="s">
        <v>663</v>
      </c>
      <c r="D1673" s="7" t="s">
        <v>664</v>
      </c>
      <c r="E1673" s="7" t="str">
        <f>"罗宗巧"</f>
        <v>罗宗巧</v>
      </c>
      <c r="F1673" s="7" t="str">
        <f t="shared" si="401"/>
        <v>女</v>
      </c>
      <c r="G1673" s="7" t="s">
        <v>1464</v>
      </c>
      <c r="H1673" s="8"/>
    </row>
    <row r="1674" ht="25" customHeight="1" spans="1:8">
      <c r="A1674" s="6">
        <v>1672</v>
      </c>
      <c r="B1674" s="7" t="str">
        <f t="shared" si="393"/>
        <v>103</v>
      </c>
      <c r="C1674" s="7" t="s">
        <v>663</v>
      </c>
      <c r="D1674" s="7" t="s">
        <v>664</v>
      </c>
      <c r="E1674" s="7" t="str">
        <f>"黄思远"</f>
        <v>黄思远</v>
      </c>
      <c r="F1674" s="7" t="str">
        <f t="shared" si="400"/>
        <v>男</v>
      </c>
      <c r="G1674" s="7" t="s">
        <v>1465</v>
      </c>
      <c r="H1674" s="8"/>
    </row>
    <row r="1675" ht="25" customHeight="1" spans="1:8">
      <c r="A1675" s="6">
        <v>1673</v>
      </c>
      <c r="B1675" s="7" t="str">
        <f t="shared" si="393"/>
        <v>103</v>
      </c>
      <c r="C1675" s="7" t="s">
        <v>663</v>
      </c>
      <c r="D1675" s="7" t="s">
        <v>664</v>
      </c>
      <c r="E1675" s="7" t="str">
        <f>"吴能"</f>
        <v>吴能</v>
      </c>
      <c r="F1675" s="7" t="str">
        <f t="shared" si="400"/>
        <v>男</v>
      </c>
      <c r="G1675" s="7" t="s">
        <v>1466</v>
      </c>
      <c r="H1675" s="8"/>
    </row>
    <row r="1676" ht="25" customHeight="1" spans="1:8">
      <c r="A1676" s="6">
        <v>1674</v>
      </c>
      <c r="B1676" s="7" t="str">
        <f t="shared" si="393"/>
        <v>103</v>
      </c>
      <c r="C1676" s="7" t="s">
        <v>663</v>
      </c>
      <c r="D1676" s="7" t="s">
        <v>664</v>
      </c>
      <c r="E1676" s="7" t="str">
        <f>"王峥兰"</f>
        <v>王峥兰</v>
      </c>
      <c r="F1676" s="7" t="str">
        <f t="shared" ref="F1676:F1680" si="402">"女"</f>
        <v>女</v>
      </c>
      <c r="G1676" s="7" t="s">
        <v>308</v>
      </c>
      <c r="H1676" s="8"/>
    </row>
    <row r="1677" ht="25" customHeight="1" spans="1:8">
      <c r="A1677" s="6">
        <v>1675</v>
      </c>
      <c r="B1677" s="7" t="str">
        <f t="shared" si="393"/>
        <v>103</v>
      </c>
      <c r="C1677" s="7" t="s">
        <v>663</v>
      </c>
      <c r="D1677" s="7" t="s">
        <v>664</v>
      </c>
      <c r="E1677" s="7" t="str">
        <f>"邓献萍"</f>
        <v>邓献萍</v>
      </c>
      <c r="F1677" s="7" t="str">
        <f t="shared" si="402"/>
        <v>女</v>
      </c>
      <c r="G1677" s="7" t="s">
        <v>1467</v>
      </c>
      <c r="H1677" s="8"/>
    </row>
    <row r="1678" ht="25" customHeight="1" spans="1:8">
      <c r="A1678" s="6">
        <v>1676</v>
      </c>
      <c r="B1678" s="7" t="str">
        <f t="shared" si="393"/>
        <v>103</v>
      </c>
      <c r="C1678" s="7" t="s">
        <v>663</v>
      </c>
      <c r="D1678" s="7" t="s">
        <v>664</v>
      </c>
      <c r="E1678" s="7" t="str">
        <f>"符彩丽"</f>
        <v>符彩丽</v>
      </c>
      <c r="F1678" s="7" t="str">
        <f t="shared" si="402"/>
        <v>女</v>
      </c>
      <c r="G1678" s="7" t="s">
        <v>1468</v>
      </c>
      <c r="H1678" s="8"/>
    </row>
    <row r="1679" ht="25" customHeight="1" spans="1:8">
      <c r="A1679" s="6">
        <v>1677</v>
      </c>
      <c r="B1679" s="7" t="str">
        <f t="shared" si="393"/>
        <v>103</v>
      </c>
      <c r="C1679" s="7" t="s">
        <v>663</v>
      </c>
      <c r="D1679" s="7" t="s">
        <v>664</v>
      </c>
      <c r="E1679" s="7" t="str">
        <f>"高顺欣"</f>
        <v>高顺欣</v>
      </c>
      <c r="F1679" s="7" t="str">
        <f t="shared" si="402"/>
        <v>女</v>
      </c>
      <c r="G1679" s="7" t="s">
        <v>937</v>
      </c>
      <c r="H1679" s="8"/>
    </row>
    <row r="1680" ht="25" customHeight="1" spans="1:8">
      <c r="A1680" s="6">
        <v>1678</v>
      </c>
      <c r="B1680" s="7" t="str">
        <f t="shared" si="393"/>
        <v>103</v>
      </c>
      <c r="C1680" s="7" t="s">
        <v>663</v>
      </c>
      <c r="D1680" s="7" t="s">
        <v>664</v>
      </c>
      <c r="E1680" s="7" t="str">
        <f>"郭春欣"</f>
        <v>郭春欣</v>
      </c>
      <c r="F1680" s="7" t="str">
        <f t="shared" si="402"/>
        <v>女</v>
      </c>
      <c r="G1680" s="7" t="s">
        <v>1469</v>
      </c>
      <c r="H1680" s="8"/>
    </row>
    <row r="1681" ht="25" customHeight="1" spans="1:8">
      <c r="A1681" s="6">
        <v>1679</v>
      </c>
      <c r="B1681" s="7" t="str">
        <f t="shared" si="393"/>
        <v>103</v>
      </c>
      <c r="C1681" s="7" t="s">
        <v>663</v>
      </c>
      <c r="D1681" s="7" t="s">
        <v>664</v>
      </c>
      <c r="E1681" s="7" t="str">
        <f>"陈英杰"</f>
        <v>陈英杰</v>
      </c>
      <c r="F1681" s="7" t="str">
        <f t="shared" ref="F1681:F1683" si="403">"男"</f>
        <v>男</v>
      </c>
      <c r="G1681" s="7" t="s">
        <v>598</v>
      </c>
      <c r="H1681" s="8"/>
    </row>
    <row r="1682" ht="25" customHeight="1" spans="1:8">
      <c r="A1682" s="6">
        <v>1680</v>
      </c>
      <c r="B1682" s="7" t="str">
        <f t="shared" si="393"/>
        <v>103</v>
      </c>
      <c r="C1682" s="7" t="s">
        <v>663</v>
      </c>
      <c r="D1682" s="7" t="s">
        <v>664</v>
      </c>
      <c r="E1682" s="7" t="str">
        <f>"王浩航"</f>
        <v>王浩航</v>
      </c>
      <c r="F1682" s="7" t="str">
        <f t="shared" si="403"/>
        <v>男</v>
      </c>
      <c r="G1682" s="7" t="s">
        <v>1470</v>
      </c>
      <c r="H1682" s="8"/>
    </row>
    <row r="1683" ht="25" customHeight="1" spans="1:8">
      <c r="A1683" s="6">
        <v>1681</v>
      </c>
      <c r="B1683" s="7" t="str">
        <f t="shared" si="393"/>
        <v>103</v>
      </c>
      <c r="C1683" s="7" t="s">
        <v>663</v>
      </c>
      <c r="D1683" s="7" t="s">
        <v>664</v>
      </c>
      <c r="E1683" s="7" t="str">
        <f>"袁一龙"</f>
        <v>袁一龙</v>
      </c>
      <c r="F1683" s="7" t="str">
        <f t="shared" si="403"/>
        <v>男</v>
      </c>
      <c r="G1683" s="7" t="s">
        <v>1471</v>
      </c>
      <c r="H1683" s="8"/>
    </row>
    <row r="1684" ht="25" customHeight="1" spans="1:8">
      <c r="A1684" s="6">
        <v>1682</v>
      </c>
      <c r="B1684" s="7" t="str">
        <f t="shared" si="393"/>
        <v>103</v>
      </c>
      <c r="C1684" s="7" t="s">
        <v>663</v>
      </c>
      <c r="D1684" s="7" t="s">
        <v>664</v>
      </c>
      <c r="E1684" s="7" t="str">
        <f>"邓庆波"</f>
        <v>邓庆波</v>
      </c>
      <c r="F1684" s="7" t="str">
        <f>"女"</f>
        <v>女</v>
      </c>
      <c r="G1684" s="7" t="s">
        <v>1472</v>
      </c>
      <c r="H1684" s="8"/>
    </row>
    <row r="1685" ht="25" customHeight="1" spans="1:8">
      <c r="A1685" s="6">
        <v>1683</v>
      </c>
      <c r="B1685" s="7" t="str">
        <f t="shared" si="393"/>
        <v>103</v>
      </c>
      <c r="C1685" s="7" t="s">
        <v>663</v>
      </c>
      <c r="D1685" s="7" t="s">
        <v>664</v>
      </c>
      <c r="E1685" s="7" t="str">
        <f>"林昌瑞"</f>
        <v>林昌瑞</v>
      </c>
      <c r="F1685" s="7" t="str">
        <f t="shared" ref="F1685:F1687" si="404">"男"</f>
        <v>男</v>
      </c>
      <c r="G1685" s="7" t="s">
        <v>1473</v>
      </c>
      <c r="H1685" s="8"/>
    </row>
    <row r="1686" ht="25" customHeight="1" spans="1:8">
      <c r="A1686" s="6">
        <v>1684</v>
      </c>
      <c r="B1686" s="7" t="str">
        <f t="shared" si="393"/>
        <v>103</v>
      </c>
      <c r="C1686" s="7" t="s">
        <v>663</v>
      </c>
      <c r="D1686" s="7" t="s">
        <v>664</v>
      </c>
      <c r="E1686" s="7" t="str">
        <f>"郑东俊"</f>
        <v>郑东俊</v>
      </c>
      <c r="F1686" s="7" t="str">
        <f t="shared" si="404"/>
        <v>男</v>
      </c>
      <c r="G1686" s="7" t="s">
        <v>1474</v>
      </c>
      <c r="H1686" s="8"/>
    </row>
    <row r="1687" ht="25" customHeight="1" spans="1:8">
      <c r="A1687" s="6">
        <v>1685</v>
      </c>
      <c r="B1687" s="7" t="str">
        <f t="shared" si="393"/>
        <v>103</v>
      </c>
      <c r="C1687" s="7" t="s">
        <v>663</v>
      </c>
      <c r="D1687" s="7" t="s">
        <v>664</v>
      </c>
      <c r="E1687" s="7" t="str">
        <f>"符正一"</f>
        <v>符正一</v>
      </c>
      <c r="F1687" s="7" t="str">
        <f t="shared" si="404"/>
        <v>男</v>
      </c>
      <c r="G1687" s="7" t="s">
        <v>1475</v>
      </c>
      <c r="H1687" s="8"/>
    </row>
    <row r="1688" ht="25" customHeight="1" spans="1:8">
      <c r="A1688" s="6">
        <v>1686</v>
      </c>
      <c r="B1688" s="7" t="str">
        <f t="shared" si="393"/>
        <v>103</v>
      </c>
      <c r="C1688" s="7" t="s">
        <v>663</v>
      </c>
      <c r="D1688" s="7" t="s">
        <v>664</v>
      </c>
      <c r="E1688" s="7" t="str">
        <f>"罗婉晴"</f>
        <v>罗婉晴</v>
      </c>
      <c r="F1688" s="7" t="str">
        <f t="shared" ref="F1688:F1692" si="405">"女"</f>
        <v>女</v>
      </c>
      <c r="G1688" s="7" t="s">
        <v>1476</v>
      </c>
      <c r="H1688" s="8"/>
    </row>
    <row r="1689" ht="25" customHeight="1" spans="1:8">
      <c r="A1689" s="6">
        <v>1687</v>
      </c>
      <c r="B1689" s="7" t="str">
        <f t="shared" si="393"/>
        <v>103</v>
      </c>
      <c r="C1689" s="7" t="s">
        <v>663</v>
      </c>
      <c r="D1689" s="7" t="s">
        <v>664</v>
      </c>
      <c r="E1689" s="7" t="str">
        <f>"莫道军"</f>
        <v>莫道军</v>
      </c>
      <c r="F1689" s="7" t="str">
        <f t="shared" ref="F1689:F1693" si="406">"男"</f>
        <v>男</v>
      </c>
      <c r="G1689" s="7" t="s">
        <v>1477</v>
      </c>
      <c r="H1689" s="8"/>
    </row>
    <row r="1690" ht="25" customHeight="1" spans="1:8">
      <c r="A1690" s="6">
        <v>1688</v>
      </c>
      <c r="B1690" s="7" t="str">
        <f t="shared" si="393"/>
        <v>103</v>
      </c>
      <c r="C1690" s="7" t="s">
        <v>663</v>
      </c>
      <c r="D1690" s="7" t="s">
        <v>664</v>
      </c>
      <c r="E1690" s="7" t="str">
        <f>"郭亚平"</f>
        <v>郭亚平</v>
      </c>
      <c r="F1690" s="7" t="str">
        <f t="shared" si="406"/>
        <v>男</v>
      </c>
      <c r="G1690" s="7" t="s">
        <v>1478</v>
      </c>
      <c r="H1690" s="8"/>
    </row>
    <row r="1691" ht="25" customHeight="1" spans="1:8">
      <c r="A1691" s="6">
        <v>1689</v>
      </c>
      <c r="B1691" s="7" t="str">
        <f t="shared" si="393"/>
        <v>103</v>
      </c>
      <c r="C1691" s="7" t="s">
        <v>663</v>
      </c>
      <c r="D1691" s="7" t="s">
        <v>664</v>
      </c>
      <c r="E1691" s="7" t="str">
        <f>"王菊荣"</f>
        <v>王菊荣</v>
      </c>
      <c r="F1691" s="7" t="str">
        <f t="shared" si="405"/>
        <v>女</v>
      </c>
      <c r="G1691" s="7" t="s">
        <v>1479</v>
      </c>
      <c r="H1691" s="8"/>
    </row>
    <row r="1692" ht="25" customHeight="1" spans="1:8">
      <c r="A1692" s="6">
        <v>1690</v>
      </c>
      <c r="B1692" s="7" t="str">
        <f t="shared" si="393"/>
        <v>103</v>
      </c>
      <c r="C1692" s="7" t="s">
        <v>663</v>
      </c>
      <c r="D1692" s="7" t="s">
        <v>664</v>
      </c>
      <c r="E1692" s="7" t="str">
        <f>"王欣欣"</f>
        <v>王欣欣</v>
      </c>
      <c r="F1692" s="7" t="str">
        <f t="shared" si="405"/>
        <v>女</v>
      </c>
      <c r="G1692" s="7" t="s">
        <v>1480</v>
      </c>
      <c r="H1692" s="8"/>
    </row>
    <row r="1693" ht="25" customHeight="1" spans="1:8">
      <c r="A1693" s="6">
        <v>1691</v>
      </c>
      <c r="B1693" s="7" t="str">
        <f t="shared" si="393"/>
        <v>103</v>
      </c>
      <c r="C1693" s="7" t="s">
        <v>663</v>
      </c>
      <c r="D1693" s="7" t="s">
        <v>664</v>
      </c>
      <c r="E1693" s="7" t="str">
        <f>"张运宝"</f>
        <v>张运宝</v>
      </c>
      <c r="F1693" s="7" t="str">
        <f t="shared" si="406"/>
        <v>男</v>
      </c>
      <c r="G1693" s="7" t="s">
        <v>1481</v>
      </c>
      <c r="H1693" s="8"/>
    </row>
    <row r="1694" ht="25" customHeight="1" spans="1:8">
      <c r="A1694" s="6">
        <v>1692</v>
      </c>
      <c r="B1694" s="7" t="str">
        <f t="shared" si="393"/>
        <v>103</v>
      </c>
      <c r="C1694" s="7" t="s">
        <v>663</v>
      </c>
      <c r="D1694" s="7" t="s">
        <v>664</v>
      </c>
      <c r="E1694" s="7" t="str">
        <f>"张成玉"</f>
        <v>张成玉</v>
      </c>
      <c r="F1694" s="7" t="str">
        <f t="shared" ref="F1694:F1700" si="407">"女"</f>
        <v>女</v>
      </c>
      <c r="G1694" s="7" t="s">
        <v>1482</v>
      </c>
      <c r="H1694" s="8"/>
    </row>
    <row r="1695" ht="25" customHeight="1" spans="1:8">
      <c r="A1695" s="6">
        <v>1693</v>
      </c>
      <c r="B1695" s="7" t="str">
        <f t="shared" si="393"/>
        <v>103</v>
      </c>
      <c r="C1695" s="7" t="s">
        <v>663</v>
      </c>
      <c r="D1695" s="7" t="s">
        <v>664</v>
      </c>
      <c r="E1695" s="7" t="str">
        <f>"陈子鹏"</f>
        <v>陈子鹏</v>
      </c>
      <c r="F1695" s="7" t="str">
        <f t="shared" ref="F1695:F1698" si="408">"男"</f>
        <v>男</v>
      </c>
      <c r="G1695" s="7" t="s">
        <v>1483</v>
      </c>
      <c r="H1695" s="8"/>
    </row>
    <row r="1696" ht="25" customHeight="1" spans="1:8">
      <c r="A1696" s="6">
        <v>1694</v>
      </c>
      <c r="B1696" s="7" t="str">
        <f t="shared" si="393"/>
        <v>103</v>
      </c>
      <c r="C1696" s="7" t="s">
        <v>663</v>
      </c>
      <c r="D1696" s="7" t="s">
        <v>664</v>
      </c>
      <c r="E1696" s="7" t="str">
        <f>"黄士旭"</f>
        <v>黄士旭</v>
      </c>
      <c r="F1696" s="7" t="str">
        <f t="shared" si="408"/>
        <v>男</v>
      </c>
      <c r="G1696" s="7" t="s">
        <v>1484</v>
      </c>
      <c r="H1696" s="8"/>
    </row>
    <row r="1697" ht="25" customHeight="1" spans="1:8">
      <c r="A1697" s="6">
        <v>1695</v>
      </c>
      <c r="B1697" s="7" t="str">
        <f t="shared" si="393"/>
        <v>103</v>
      </c>
      <c r="C1697" s="7" t="s">
        <v>663</v>
      </c>
      <c r="D1697" s="7" t="s">
        <v>664</v>
      </c>
      <c r="E1697" s="7" t="str">
        <f>"王诗怡"</f>
        <v>王诗怡</v>
      </c>
      <c r="F1697" s="7" t="str">
        <f t="shared" si="407"/>
        <v>女</v>
      </c>
      <c r="G1697" s="7" t="s">
        <v>449</v>
      </c>
      <c r="H1697" s="8"/>
    </row>
    <row r="1698" ht="25" customHeight="1" spans="1:8">
      <c r="A1698" s="6">
        <v>1696</v>
      </c>
      <c r="B1698" s="7" t="str">
        <f t="shared" si="393"/>
        <v>103</v>
      </c>
      <c r="C1698" s="7" t="s">
        <v>663</v>
      </c>
      <c r="D1698" s="7" t="s">
        <v>664</v>
      </c>
      <c r="E1698" s="7" t="str">
        <f>"孙寅哲"</f>
        <v>孙寅哲</v>
      </c>
      <c r="F1698" s="7" t="str">
        <f t="shared" si="408"/>
        <v>男</v>
      </c>
      <c r="G1698" s="7" t="s">
        <v>1388</v>
      </c>
      <c r="H1698" s="8"/>
    </row>
    <row r="1699" ht="25" customHeight="1" spans="1:8">
      <c r="A1699" s="6">
        <v>1697</v>
      </c>
      <c r="B1699" s="7" t="str">
        <f t="shared" si="393"/>
        <v>103</v>
      </c>
      <c r="C1699" s="7" t="s">
        <v>663</v>
      </c>
      <c r="D1699" s="7" t="s">
        <v>664</v>
      </c>
      <c r="E1699" s="7" t="str">
        <f>"朱李安萍"</f>
        <v>朱李安萍</v>
      </c>
      <c r="F1699" s="7" t="str">
        <f t="shared" si="407"/>
        <v>女</v>
      </c>
      <c r="G1699" s="7" t="s">
        <v>1485</v>
      </c>
      <c r="H1699" s="8"/>
    </row>
    <row r="1700" ht="25" customHeight="1" spans="1:8">
      <c r="A1700" s="6">
        <v>1698</v>
      </c>
      <c r="B1700" s="7" t="str">
        <f t="shared" si="393"/>
        <v>103</v>
      </c>
      <c r="C1700" s="7" t="s">
        <v>663</v>
      </c>
      <c r="D1700" s="7" t="s">
        <v>664</v>
      </c>
      <c r="E1700" s="7" t="str">
        <f>"李香"</f>
        <v>李香</v>
      </c>
      <c r="F1700" s="7" t="str">
        <f t="shared" si="407"/>
        <v>女</v>
      </c>
      <c r="G1700" s="7" t="s">
        <v>1486</v>
      </c>
      <c r="H1700" s="8"/>
    </row>
    <row r="1701" ht="25" customHeight="1" spans="1:8">
      <c r="A1701" s="6">
        <v>1699</v>
      </c>
      <c r="B1701" s="7" t="str">
        <f t="shared" si="393"/>
        <v>103</v>
      </c>
      <c r="C1701" s="7" t="s">
        <v>663</v>
      </c>
      <c r="D1701" s="7" t="s">
        <v>664</v>
      </c>
      <c r="E1701" s="7" t="str">
        <f>"卓冠"</f>
        <v>卓冠</v>
      </c>
      <c r="F1701" s="7" t="str">
        <f t="shared" ref="F1701:F1706" si="409">"男"</f>
        <v>男</v>
      </c>
      <c r="G1701" s="7" t="s">
        <v>1487</v>
      </c>
      <c r="H1701" s="8"/>
    </row>
    <row r="1702" ht="25" customHeight="1" spans="1:8">
      <c r="A1702" s="6">
        <v>1700</v>
      </c>
      <c r="B1702" s="7" t="str">
        <f t="shared" si="393"/>
        <v>103</v>
      </c>
      <c r="C1702" s="7" t="s">
        <v>663</v>
      </c>
      <c r="D1702" s="7" t="s">
        <v>664</v>
      </c>
      <c r="E1702" s="7" t="str">
        <f>"王小春"</f>
        <v>王小春</v>
      </c>
      <c r="F1702" s="7" t="str">
        <f t="shared" ref="F1702:F1704" si="410">"女"</f>
        <v>女</v>
      </c>
      <c r="G1702" s="7" t="s">
        <v>1488</v>
      </c>
      <c r="H1702" s="8"/>
    </row>
    <row r="1703" ht="25" customHeight="1" spans="1:8">
      <c r="A1703" s="6">
        <v>1701</v>
      </c>
      <c r="B1703" s="7" t="str">
        <f t="shared" si="393"/>
        <v>103</v>
      </c>
      <c r="C1703" s="7" t="s">
        <v>663</v>
      </c>
      <c r="D1703" s="7" t="s">
        <v>664</v>
      </c>
      <c r="E1703" s="7" t="str">
        <f>"林嘉佳"</f>
        <v>林嘉佳</v>
      </c>
      <c r="F1703" s="7" t="str">
        <f t="shared" si="410"/>
        <v>女</v>
      </c>
      <c r="G1703" s="7" t="s">
        <v>1489</v>
      </c>
      <c r="H1703" s="8"/>
    </row>
    <row r="1704" ht="25" customHeight="1" spans="1:8">
      <c r="A1704" s="6">
        <v>1702</v>
      </c>
      <c r="B1704" s="7" t="str">
        <f t="shared" ref="B1704:B1767" si="411">"103"</f>
        <v>103</v>
      </c>
      <c r="C1704" s="7" t="s">
        <v>663</v>
      </c>
      <c r="D1704" s="7" t="s">
        <v>664</v>
      </c>
      <c r="E1704" s="7" t="str">
        <f>"郑如展"</f>
        <v>郑如展</v>
      </c>
      <c r="F1704" s="7" t="str">
        <f t="shared" si="410"/>
        <v>女</v>
      </c>
      <c r="G1704" s="7" t="s">
        <v>1490</v>
      </c>
      <c r="H1704" s="8"/>
    </row>
    <row r="1705" ht="25" customHeight="1" spans="1:8">
      <c r="A1705" s="6">
        <v>1703</v>
      </c>
      <c r="B1705" s="7" t="str">
        <f t="shared" si="411"/>
        <v>103</v>
      </c>
      <c r="C1705" s="7" t="s">
        <v>663</v>
      </c>
      <c r="D1705" s="7" t="s">
        <v>664</v>
      </c>
      <c r="E1705" s="7" t="str">
        <f>"李兴"</f>
        <v>李兴</v>
      </c>
      <c r="F1705" s="7" t="str">
        <f t="shared" si="409"/>
        <v>男</v>
      </c>
      <c r="G1705" s="7" t="s">
        <v>1491</v>
      </c>
      <c r="H1705" s="8"/>
    </row>
    <row r="1706" ht="25" customHeight="1" spans="1:8">
      <c r="A1706" s="6">
        <v>1704</v>
      </c>
      <c r="B1706" s="7" t="str">
        <f t="shared" si="411"/>
        <v>103</v>
      </c>
      <c r="C1706" s="7" t="s">
        <v>663</v>
      </c>
      <c r="D1706" s="7" t="s">
        <v>664</v>
      </c>
      <c r="E1706" s="7" t="str">
        <f>"王登敬"</f>
        <v>王登敬</v>
      </c>
      <c r="F1706" s="7" t="str">
        <f t="shared" si="409"/>
        <v>男</v>
      </c>
      <c r="G1706" s="7" t="s">
        <v>1492</v>
      </c>
      <c r="H1706" s="8"/>
    </row>
    <row r="1707" ht="25" customHeight="1" spans="1:8">
      <c r="A1707" s="6">
        <v>1705</v>
      </c>
      <c r="B1707" s="7" t="str">
        <f t="shared" si="411"/>
        <v>103</v>
      </c>
      <c r="C1707" s="7" t="s">
        <v>663</v>
      </c>
      <c r="D1707" s="7" t="s">
        <v>664</v>
      </c>
      <c r="E1707" s="7" t="str">
        <f>"羊萱青"</f>
        <v>羊萱青</v>
      </c>
      <c r="F1707" s="7" t="str">
        <f t="shared" ref="F1707:F1713" si="412">"女"</f>
        <v>女</v>
      </c>
      <c r="G1707" s="7" t="s">
        <v>1493</v>
      </c>
      <c r="H1707" s="8"/>
    </row>
    <row r="1708" ht="25" customHeight="1" spans="1:8">
      <c r="A1708" s="6">
        <v>1706</v>
      </c>
      <c r="B1708" s="7" t="str">
        <f t="shared" si="411"/>
        <v>103</v>
      </c>
      <c r="C1708" s="7" t="s">
        <v>663</v>
      </c>
      <c r="D1708" s="7" t="s">
        <v>664</v>
      </c>
      <c r="E1708" s="7" t="str">
        <f>"张瀚文"</f>
        <v>张瀚文</v>
      </c>
      <c r="F1708" s="7" t="str">
        <f t="shared" si="412"/>
        <v>女</v>
      </c>
      <c r="G1708" s="7" t="s">
        <v>1494</v>
      </c>
      <c r="H1708" s="8"/>
    </row>
    <row r="1709" ht="25" customHeight="1" spans="1:8">
      <c r="A1709" s="6">
        <v>1707</v>
      </c>
      <c r="B1709" s="7" t="str">
        <f t="shared" si="411"/>
        <v>103</v>
      </c>
      <c r="C1709" s="7" t="s">
        <v>663</v>
      </c>
      <c r="D1709" s="7" t="s">
        <v>664</v>
      </c>
      <c r="E1709" s="7" t="str">
        <f>"刘士铭"</f>
        <v>刘士铭</v>
      </c>
      <c r="F1709" s="7" t="str">
        <f>"男"</f>
        <v>男</v>
      </c>
      <c r="G1709" s="7" t="s">
        <v>808</v>
      </c>
      <c r="H1709" s="8"/>
    </row>
    <row r="1710" ht="25" customHeight="1" spans="1:8">
      <c r="A1710" s="6">
        <v>1708</v>
      </c>
      <c r="B1710" s="7" t="str">
        <f t="shared" si="411"/>
        <v>103</v>
      </c>
      <c r="C1710" s="7" t="s">
        <v>663</v>
      </c>
      <c r="D1710" s="7" t="s">
        <v>664</v>
      </c>
      <c r="E1710" s="7" t="str">
        <f>"时珊"</f>
        <v>时珊</v>
      </c>
      <c r="F1710" s="7" t="str">
        <f t="shared" si="412"/>
        <v>女</v>
      </c>
      <c r="G1710" s="7" t="s">
        <v>1495</v>
      </c>
      <c r="H1710" s="8"/>
    </row>
    <row r="1711" ht="25" customHeight="1" spans="1:8">
      <c r="A1711" s="6">
        <v>1709</v>
      </c>
      <c r="B1711" s="7" t="str">
        <f t="shared" si="411"/>
        <v>103</v>
      </c>
      <c r="C1711" s="7" t="s">
        <v>663</v>
      </c>
      <c r="D1711" s="7" t="s">
        <v>664</v>
      </c>
      <c r="E1711" s="7" t="str">
        <f>"赖雯"</f>
        <v>赖雯</v>
      </c>
      <c r="F1711" s="7" t="str">
        <f t="shared" si="412"/>
        <v>女</v>
      </c>
      <c r="G1711" s="7" t="s">
        <v>1496</v>
      </c>
      <c r="H1711" s="8"/>
    </row>
    <row r="1712" ht="25" customHeight="1" spans="1:8">
      <c r="A1712" s="6">
        <v>1710</v>
      </c>
      <c r="B1712" s="7" t="str">
        <f t="shared" si="411"/>
        <v>103</v>
      </c>
      <c r="C1712" s="7" t="s">
        <v>663</v>
      </c>
      <c r="D1712" s="7" t="s">
        <v>664</v>
      </c>
      <c r="E1712" s="7" t="str">
        <f>"王燕"</f>
        <v>王燕</v>
      </c>
      <c r="F1712" s="7" t="str">
        <f t="shared" si="412"/>
        <v>女</v>
      </c>
      <c r="G1712" s="7" t="s">
        <v>1497</v>
      </c>
      <c r="H1712" s="8"/>
    </row>
    <row r="1713" ht="25" customHeight="1" spans="1:8">
      <c r="A1713" s="6">
        <v>1711</v>
      </c>
      <c r="B1713" s="7" t="str">
        <f t="shared" si="411"/>
        <v>103</v>
      </c>
      <c r="C1713" s="7" t="s">
        <v>663</v>
      </c>
      <c r="D1713" s="7" t="s">
        <v>664</v>
      </c>
      <c r="E1713" s="7" t="str">
        <f>"王宇彤"</f>
        <v>王宇彤</v>
      </c>
      <c r="F1713" s="7" t="str">
        <f t="shared" si="412"/>
        <v>女</v>
      </c>
      <c r="G1713" s="7" t="s">
        <v>1498</v>
      </c>
      <c r="H1713" s="8"/>
    </row>
    <row r="1714" ht="25" customHeight="1" spans="1:8">
      <c r="A1714" s="6">
        <v>1712</v>
      </c>
      <c r="B1714" s="7" t="str">
        <f t="shared" si="411"/>
        <v>103</v>
      </c>
      <c r="C1714" s="7" t="s">
        <v>663</v>
      </c>
      <c r="D1714" s="7" t="s">
        <v>664</v>
      </c>
      <c r="E1714" s="7" t="str">
        <f>"张闻鑫"</f>
        <v>张闻鑫</v>
      </c>
      <c r="F1714" s="7" t="str">
        <f t="shared" ref="F1714:F1716" si="413">"男"</f>
        <v>男</v>
      </c>
      <c r="G1714" s="7" t="s">
        <v>1499</v>
      </c>
      <c r="H1714" s="8"/>
    </row>
    <row r="1715" ht="25" customHeight="1" spans="1:8">
      <c r="A1715" s="6">
        <v>1713</v>
      </c>
      <c r="B1715" s="7" t="str">
        <f t="shared" si="411"/>
        <v>103</v>
      </c>
      <c r="C1715" s="7" t="s">
        <v>663</v>
      </c>
      <c r="D1715" s="7" t="s">
        <v>664</v>
      </c>
      <c r="E1715" s="7" t="str">
        <f>"羊志雄"</f>
        <v>羊志雄</v>
      </c>
      <c r="F1715" s="7" t="str">
        <f t="shared" si="413"/>
        <v>男</v>
      </c>
      <c r="G1715" s="7" t="s">
        <v>1500</v>
      </c>
      <c r="H1715" s="8"/>
    </row>
    <row r="1716" ht="25" customHeight="1" spans="1:8">
      <c r="A1716" s="6">
        <v>1714</v>
      </c>
      <c r="B1716" s="7" t="str">
        <f t="shared" si="411"/>
        <v>103</v>
      </c>
      <c r="C1716" s="7" t="s">
        <v>663</v>
      </c>
      <c r="D1716" s="7" t="s">
        <v>664</v>
      </c>
      <c r="E1716" s="7" t="str">
        <f>"符基铭"</f>
        <v>符基铭</v>
      </c>
      <c r="F1716" s="7" t="str">
        <f t="shared" si="413"/>
        <v>男</v>
      </c>
      <c r="G1716" s="7" t="s">
        <v>1501</v>
      </c>
      <c r="H1716" s="8"/>
    </row>
    <row r="1717" ht="25" customHeight="1" spans="1:8">
      <c r="A1717" s="6">
        <v>1715</v>
      </c>
      <c r="B1717" s="7" t="str">
        <f t="shared" si="411"/>
        <v>103</v>
      </c>
      <c r="C1717" s="7" t="s">
        <v>663</v>
      </c>
      <c r="D1717" s="7" t="s">
        <v>664</v>
      </c>
      <c r="E1717" s="7" t="str">
        <f>"崔舒柳"</f>
        <v>崔舒柳</v>
      </c>
      <c r="F1717" s="7" t="str">
        <f t="shared" ref="F1717:F1721" si="414">"女"</f>
        <v>女</v>
      </c>
      <c r="G1717" s="7" t="s">
        <v>1502</v>
      </c>
      <c r="H1717" s="8"/>
    </row>
    <row r="1718" ht="25" customHeight="1" spans="1:8">
      <c r="A1718" s="6">
        <v>1716</v>
      </c>
      <c r="B1718" s="7" t="str">
        <f t="shared" si="411"/>
        <v>103</v>
      </c>
      <c r="C1718" s="7" t="s">
        <v>663</v>
      </c>
      <c r="D1718" s="7" t="s">
        <v>664</v>
      </c>
      <c r="E1718" s="7" t="str">
        <f>"甘祖栋"</f>
        <v>甘祖栋</v>
      </c>
      <c r="F1718" s="7" t="str">
        <f>"男"</f>
        <v>男</v>
      </c>
      <c r="G1718" s="7" t="s">
        <v>1503</v>
      </c>
      <c r="H1718" s="8"/>
    </row>
    <row r="1719" ht="25" customHeight="1" spans="1:8">
      <c r="A1719" s="6">
        <v>1717</v>
      </c>
      <c r="B1719" s="7" t="str">
        <f t="shared" si="411"/>
        <v>103</v>
      </c>
      <c r="C1719" s="7" t="s">
        <v>663</v>
      </c>
      <c r="D1719" s="7" t="s">
        <v>664</v>
      </c>
      <c r="E1719" s="7" t="str">
        <f>"邓莹莹"</f>
        <v>邓莹莹</v>
      </c>
      <c r="F1719" s="7" t="str">
        <f t="shared" si="414"/>
        <v>女</v>
      </c>
      <c r="G1719" s="7" t="s">
        <v>1504</v>
      </c>
      <c r="H1719" s="8"/>
    </row>
    <row r="1720" ht="25" customHeight="1" spans="1:8">
      <c r="A1720" s="6">
        <v>1718</v>
      </c>
      <c r="B1720" s="7" t="str">
        <f t="shared" si="411"/>
        <v>103</v>
      </c>
      <c r="C1720" s="7" t="s">
        <v>663</v>
      </c>
      <c r="D1720" s="7" t="s">
        <v>664</v>
      </c>
      <c r="E1720" s="7" t="str">
        <f>"孙秋荷"</f>
        <v>孙秋荷</v>
      </c>
      <c r="F1720" s="7" t="str">
        <f t="shared" si="414"/>
        <v>女</v>
      </c>
      <c r="G1720" s="7" t="s">
        <v>684</v>
      </c>
      <c r="H1720" s="8"/>
    </row>
    <row r="1721" ht="25" customHeight="1" spans="1:8">
      <c r="A1721" s="6">
        <v>1719</v>
      </c>
      <c r="B1721" s="7" t="str">
        <f t="shared" si="411"/>
        <v>103</v>
      </c>
      <c r="C1721" s="7" t="s">
        <v>663</v>
      </c>
      <c r="D1721" s="7" t="s">
        <v>664</v>
      </c>
      <c r="E1721" s="7" t="str">
        <f>"符英萍"</f>
        <v>符英萍</v>
      </c>
      <c r="F1721" s="7" t="str">
        <f t="shared" si="414"/>
        <v>女</v>
      </c>
      <c r="G1721" s="7" t="s">
        <v>660</v>
      </c>
      <c r="H1721" s="8"/>
    </row>
    <row r="1722" ht="25" customHeight="1" spans="1:8">
      <c r="A1722" s="6">
        <v>1720</v>
      </c>
      <c r="B1722" s="7" t="str">
        <f t="shared" si="411"/>
        <v>103</v>
      </c>
      <c r="C1722" s="7" t="s">
        <v>663</v>
      </c>
      <c r="D1722" s="7" t="s">
        <v>664</v>
      </c>
      <c r="E1722" s="7" t="str">
        <f>"徐耿彬"</f>
        <v>徐耿彬</v>
      </c>
      <c r="F1722" s="7" t="str">
        <f t="shared" ref="F1722:F1727" si="415">"男"</f>
        <v>男</v>
      </c>
      <c r="G1722" s="7" t="s">
        <v>1505</v>
      </c>
      <c r="H1722" s="8"/>
    </row>
    <row r="1723" ht="25" customHeight="1" spans="1:8">
      <c r="A1723" s="6">
        <v>1721</v>
      </c>
      <c r="B1723" s="7" t="str">
        <f t="shared" si="411"/>
        <v>103</v>
      </c>
      <c r="C1723" s="7" t="s">
        <v>663</v>
      </c>
      <c r="D1723" s="7" t="s">
        <v>664</v>
      </c>
      <c r="E1723" s="7" t="str">
        <f>"王冰"</f>
        <v>王冰</v>
      </c>
      <c r="F1723" s="7" t="str">
        <f t="shared" ref="F1723:F1726" si="416">"女"</f>
        <v>女</v>
      </c>
      <c r="G1723" s="7" t="s">
        <v>1506</v>
      </c>
      <c r="H1723" s="8"/>
    </row>
    <row r="1724" ht="25" customHeight="1" spans="1:8">
      <c r="A1724" s="6">
        <v>1722</v>
      </c>
      <c r="B1724" s="7" t="str">
        <f t="shared" si="411"/>
        <v>103</v>
      </c>
      <c r="C1724" s="7" t="s">
        <v>663</v>
      </c>
      <c r="D1724" s="7" t="s">
        <v>664</v>
      </c>
      <c r="E1724" s="7" t="str">
        <f>"郭永良"</f>
        <v>郭永良</v>
      </c>
      <c r="F1724" s="7" t="str">
        <f t="shared" si="415"/>
        <v>男</v>
      </c>
      <c r="G1724" s="7" t="s">
        <v>1507</v>
      </c>
      <c r="H1724" s="8"/>
    </row>
    <row r="1725" ht="25" customHeight="1" spans="1:8">
      <c r="A1725" s="6">
        <v>1723</v>
      </c>
      <c r="B1725" s="7" t="str">
        <f t="shared" si="411"/>
        <v>103</v>
      </c>
      <c r="C1725" s="7" t="s">
        <v>663</v>
      </c>
      <c r="D1725" s="7" t="s">
        <v>664</v>
      </c>
      <c r="E1725" s="7" t="str">
        <f>"黄珊环"</f>
        <v>黄珊环</v>
      </c>
      <c r="F1725" s="7" t="str">
        <f t="shared" si="416"/>
        <v>女</v>
      </c>
      <c r="G1725" s="7" t="s">
        <v>1508</v>
      </c>
      <c r="H1725" s="8"/>
    </row>
    <row r="1726" ht="25" customHeight="1" spans="1:8">
      <c r="A1726" s="6">
        <v>1724</v>
      </c>
      <c r="B1726" s="7" t="str">
        <f t="shared" si="411"/>
        <v>103</v>
      </c>
      <c r="C1726" s="7" t="s">
        <v>663</v>
      </c>
      <c r="D1726" s="7" t="s">
        <v>664</v>
      </c>
      <c r="E1726" s="7" t="str">
        <f>"卓凯红"</f>
        <v>卓凯红</v>
      </c>
      <c r="F1726" s="7" t="str">
        <f t="shared" si="416"/>
        <v>女</v>
      </c>
      <c r="G1726" s="7" t="s">
        <v>709</v>
      </c>
      <c r="H1726" s="8"/>
    </row>
    <row r="1727" ht="25" customHeight="1" spans="1:8">
      <c r="A1727" s="6">
        <v>1725</v>
      </c>
      <c r="B1727" s="7" t="str">
        <f t="shared" si="411"/>
        <v>103</v>
      </c>
      <c r="C1727" s="7" t="s">
        <v>663</v>
      </c>
      <c r="D1727" s="7" t="s">
        <v>664</v>
      </c>
      <c r="E1727" s="7" t="str">
        <f>"黄杰韬"</f>
        <v>黄杰韬</v>
      </c>
      <c r="F1727" s="7" t="str">
        <f t="shared" si="415"/>
        <v>男</v>
      </c>
      <c r="G1727" s="7" t="s">
        <v>1353</v>
      </c>
      <c r="H1727" s="8"/>
    </row>
    <row r="1728" ht="25" customHeight="1" spans="1:8">
      <c r="A1728" s="6">
        <v>1726</v>
      </c>
      <c r="B1728" s="7" t="str">
        <f t="shared" si="411"/>
        <v>103</v>
      </c>
      <c r="C1728" s="7" t="s">
        <v>663</v>
      </c>
      <c r="D1728" s="7" t="s">
        <v>664</v>
      </c>
      <c r="E1728" s="7" t="str">
        <f>"黎娜"</f>
        <v>黎娜</v>
      </c>
      <c r="F1728" s="7" t="str">
        <f t="shared" ref="F1728:F1731" si="417">"女"</f>
        <v>女</v>
      </c>
      <c r="G1728" s="7" t="s">
        <v>1509</v>
      </c>
      <c r="H1728" s="8"/>
    </row>
    <row r="1729" ht="25" customHeight="1" spans="1:8">
      <c r="A1729" s="6">
        <v>1727</v>
      </c>
      <c r="B1729" s="7" t="str">
        <f t="shared" si="411"/>
        <v>103</v>
      </c>
      <c r="C1729" s="7" t="s">
        <v>663</v>
      </c>
      <c r="D1729" s="7" t="s">
        <v>664</v>
      </c>
      <c r="E1729" s="7" t="str">
        <f>"李华敏"</f>
        <v>李华敏</v>
      </c>
      <c r="F1729" s="7" t="str">
        <f t="shared" si="417"/>
        <v>女</v>
      </c>
      <c r="G1729" s="7" t="s">
        <v>1510</v>
      </c>
      <c r="H1729" s="8"/>
    </row>
    <row r="1730" ht="25" customHeight="1" spans="1:8">
      <c r="A1730" s="6">
        <v>1728</v>
      </c>
      <c r="B1730" s="7" t="str">
        <f t="shared" si="411"/>
        <v>103</v>
      </c>
      <c r="C1730" s="7" t="s">
        <v>663</v>
      </c>
      <c r="D1730" s="7" t="s">
        <v>664</v>
      </c>
      <c r="E1730" s="7" t="str">
        <f>"刘光亮"</f>
        <v>刘光亮</v>
      </c>
      <c r="F1730" s="7" t="str">
        <f t="shared" ref="F1730:F1733" si="418">"男"</f>
        <v>男</v>
      </c>
      <c r="G1730" s="7" t="s">
        <v>1511</v>
      </c>
      <c r="H1730" s="8"/>
    </row>
    <row r="1731" ht="25" customHeight="1" spans="1:8">
      <c r="A1731" s="6">
        <v>1729</v>
      </c>
      <c r="B1731" s="7" t="str">
        <f t="shared" si="411"/>
        <v>103</v>
      </c>
      <c r="C1731" s="7" t="s">
        <v>663</v>
      </c>
      <c r="D1731" s="7" t="s">
        <v>664</v>
      </c>
      <c r="E1731" s="7" t="str">
        <f>"林欣欣"</f>
        <v>林欣欣</v>
      </c>
      <c r="F1731" s="7" t="str">
        <f t="shared" si="417"/>
        <v>女</v>
      </c>
      <c r="G1731" s="7" t="s">
        <v>10</v>
      </c>
      <c r="H1731" s="8"/>
    </row>
    <row r="1732" ht="25" customHeight="1" spans="1:8">
      <c r="A1732" s="6">
        <v>1730</v>
      </c>
      <c r="B1732" s="7" t="str">
        <f t="shared" si="411"/>
        <v>103</v>
      </c>
      <c r="C1732" s="7" t="s">
        <v>663</v>
      </c>
      <c r="D1732" s="7" t="s">
        <v>664</v>
      </c>
      <c r="E1732" s="7" t="str">
        <f>"钟教华"</f>
        <v>钟教华</v>
      </c>
      <c r="F1732" s="7" t="str">
        <f t="shared" si="418"/>
        <v>男</v>
      </c>
      <c r="G1732" s="7" t="s">
        <v>1512</v>
      </c>
      <c r="H1732" s="8"/>
    </row>
    <row r="1733" ht="25" customHeight="1" spans="1:8">
      <c r="A1733" s="6">
        <v>1731</v>
      </c>
      <c r="B1733" s="7" t="str">
        <f t="shared" si="411"/>
        <v>103</v>
      </c>
      <c r="C1733" s="7" t="s">
        <v>663</v>
      </c>
      <c r="D1733" s="7" t="s">
        <v>664</v>
      </c>
      <c r="E1733" s="7" t="str">
        <f>"陈元任"</f>
        <v>陈元任</v>
      </c>
      <c r="F1733" s="7" t="str">
        <f t="shared" si="418"/>
        <v>男</v>
      </c>
      <c r="G1733" s="7" t="s">
        <v>791</v>
      </c>
      <c r="H1733" s="8"/>
    </row>
    <row r="1734" ht="25" customHeight="1" spans="1:8">
      <c r="A1734" s="6">
        <v>1732</v>
      </c>
      <c r="B1734" s="7" t="str">
        <f t="shared" si="411"/>
        <v>103</v>
      </c>
      <c r="C1734" s="7" t="s">
        <v>663</v>
      </c>
      <c r="D1734" s="7" t="s">
        <v>664</v>
      </c>
      <c r="E1734" s="7" t="str">
        <f>"王婴"</f>
        <v>王婴</v>
      </c>
      <c r="F1734" s="7" t="str">
        <f t="shared" ref="F1734:F1739" si="419">"女"</f>
        <v>女</v>
      </c>
      <c r="G1734" s="7" t="s">
        <v>1513</v>
      </c>
      <c r="H1734" s="8"/>
    </row>
    <row r="1735" ht="25" customHeight="1" spans="1:8">
      <c r="A1735" s="6">
        <v>1733</v>
      </c>
      <c r="B1735" s="7" t="str">
        <f t="shared" si="411"/>
        <v>103</v>
      </c>
      <c r="C1735" s="7" t="s">
        <v>663</v>
      </c>
      <c r="D1735" s="7" t="s">
        <v>664</v>
      </c>
      <c r="E1735" s="7" t="str">
        <f>"高琼珠"</f>
        <v>高琼珠</v>
      </c>
      <c r="F1735" s="7" t="str">
        <f t="shared" si="419"/>
        <v>女</v>
      </c>
      <c r="G1735" s="7" t="s">
        <v>1514</v>
      </c>
      <c r="H1735" s="8"/>
    </row>
    <row r="1736" ht="25" customHeight="1" spans="1:8">
      <c r="A1736" s="6">
        <v>1734</v>
      </c>
      <c r="B1736" s="7" t="str">
        <f t="shared" si="411"/>
        <v>103</v>
      </c>
      <c r="C1736" s="7" t="s">
        <v>663</v>
      </c>
      <c r="D1736" s="7" t="s">
        <v>664</v>
      </c>
      <c r="E1736" s="7" t="str">
        <f>"姚卓"</f>
        <v>姚卓</v>
      </c>
      <c r="F1736" s="7" t="str">
        <f t="shared" ref="F1736:F1738" si="420">"男"</f>
        <v>男</v>
      </c>
      <c r="G1736" s="7" t="s">
        <v>1515</v>
      </c>
      <c r="H1736" s="8"/>
    </row>
    <row r="1737" ht="25" customHeight="1" spans="1:8">
      <c r="A1737" s="6">
        <v>1735</v>
      </c>
      <c r="B1737" s="7" t="str">
        <f t="shared" si="411"/>
        <v>103</v>
      </c>
      <c r="C1737" s="7" t="s">
        <v>663</v>
      </c>
      <c r="D1737" s="7" t="s">
        <v>664</v>
      </c>
      <c r="E1737" s="7" t="str">
        <f>"曾映南"</f>
        <v>曾映南</v>
      </c>
      <c r="F1737" s="7" t="str">
        <f t="shared" si="420"/>
        <v>男</v>
      </c>
      <c r="G1737" s="7" t="s">
        <v>1516</v>
      </c>
      <c r="H1737" s="8"/>
    </row>
    <row r="1738" ht="25" customHeight="1" spans="1:8">
      <c r="A1738" s="6">
        <v>1736</v>
      </c>
      <c r="B1738" s="7" t="str">
        <f t="shared" si="411"/>
        <v>103</v>
      </c>
      <c r="C1738" s="7" t="s">
        <v>663</v>
      </c>
      <c r="D1738" s="7" t="s">
        <v>664</v>
      </c>
      <c r="E1738" s="7" t="str">
        <f>"陈伟正"</f>
        <v>陈伟正</v>
      </c>
      <c r="F1738" s="7" t="str">
        <f t="shared" si="420"/>
        <v>男</v>
      </c>
      <c r="G1738" s="7" t="s">
        <v>1517</v>
      </c>
      <c r="H1738" s="8"/>
    </row>
    <row r="1739" ht="25" customHeight="1" spans="1:8">
      <c r="A1739" s="6">
        <v>1737</v>
      </c>
      <c r="B1739" s="7" t="str">
        <f t="shared" si="411"/>
        <v>103</v>
      </c>
      <c r="C1739" s="7" t="s">
        <v>663</v>
      </c>
      <c r="D1739" s="7" t="s">
        <v>664</v>
      </c>
      <c r="E1739" s="7" t="str">
        <f>"章小芬"</f>
        <v>章小芬</v>
      </c>
      <c r="F1739" s="7" t="str">
        <f t="shared" si="419"/>
        <v>女</v>
      </c>
      <c r="G1739" s="7" t="s">
        <v>1518</v>
      </c>
      <c r="H1739" s="8"/>
    </row>
    <row r="1740" ht="25" customHeight="1" spans="1:8">
      <c r="A1740" s="6">
        <v>1738</v>
      </c>
      <c r="B1740" s="7" t="str">
        <f t="shared" si="411"/>
        <v>103</v>
      </c>
      <c r="C1740" s="7" t="s">
        <v>663</v>
      </c>
      <c r="D1740" s="7" t="s">
        <v>664</v>
      </c>
      <c r="E1740" s="7" t="str">
        <f>"卓凌"</f>
        <v>卓凌</v>
      </c>
      <c r="F1740" s="7" t="str">
        <f>"男"</f>
        <v>男</v>
      </c>
      <c r="G1740" s="7" t="s">
        <v>1519</v>
      </c>
      <c r="H1740" s="8"/>
    </row>
    <row r="1741" ht="25" customHeight="1" spans="1:8">
      <c r="A1741" s="6">
        <v>1739</v>
      </c>
      <c r="B1741" s="7" t="str">
        <f t="shared" si="411"/>
        <v>103</v>
      </c>
      <c r="C1741" s="7" t="s">
        <v>663</v>
      </c>
      <c r="D1741" s="7" t="s">
        <v>664</v>
      </c>
      <c r="E1741" s="7" t="str">
        <f>"袁崎月"</f>
        <v>袁崎月</v>
      </c>
      <c r="F1741" s="7" t="str">
        <f t="shared" ref="F1741:F1745" si="421">"女"</f>
        <v>女</v>
      </c>
      <c r="G1741" s="7" t="s">
        <v>1520</v>
      </c>
      <c r="H1741" s="8"/>
    </row>
    <row r="1742" ht="25" customHeight="1" spans="1:8">
      <c r="A1742" s="6">
        <v>1740</v>
      </c>
      <c r="B1742" s="7" t="str">
        <f t="shared" si="411"/>
        <v>103</v>
      </c>
      <c r="C1742" s="7" t="s">
        <v>663</v>
      </c>
      <c r="D1742" s="7" t="s">
        <v>664</v>
      </c>
      <c r="E1742" s="7" t="str">
        <f>"王扬桃"</f>
        <v>王扬桃</v>
      </c>
      <c r="F1742" s="7" t="str">
        <f t="shared" si="421"/>
        <v>女</v>
      </c>
      <c r="G1742" s="7" t="s">
        <v>1521</v>
      </c>
      <c r="H1742" s="8"/>
    </row>
    <row r="1743" ht="25" customHeight="1" spans="1:8">
      <c r="A1743" s="6">
        <v>1741</v>
      </c>
      <c r="B1743" s="7" t="str">
        <f t="shared" si="411"/>
        <v>103</v>
      </c>
      <c r="C1743" s="7" t="s">
        <v>663</v>
      </c>
      <c r="D1743" s="7" t="s">
        <v>664</v>
      </c>
      <c r="E1743" s="7" t="str">
        <f>"蔡秋玲"</f>
        <v>蔡秋玲</v>
      </c>
      <c r="F1743" s="7" t="str">
        <f t="shared" si="421"/>
        <v>女</v>
      </c>
      <c r="G1743" s="7" t="s">
        <v>1522</v>
      </c>
      <c r="H1743" s="8"/>
    </row>
    <row r="1744" ht="25" customHeight="1" spans="1:8">
      <c r="A1744" s="6">
        <v>1742</v>
      </c>
      <c r="B1744" s="7" t="str">
        <f t="shared" si="411"/>
        <v>103</v>
      </c>
      <c r="C1744" s="7" t="s">
        <v>663</v>
      </c>
      <c r="D1744" s="7" t="s">
        <v>664</v>
      </c>
      <c r="E1744" s="7" t="str">
        <f>"王力珠"</f>
        <v>王力珠</v>
      </c>
      <c r="F1744" s="7" t="str">
        <f t="shared" si="421"/>
        <v>女</v>
      </c>
      <c r="G1744" s="7" t="s">
        <v>1523</v>
      </c>
      <c r="H1744" s="8"/>
    </row>
    <row r="1745" ht="25" customHeight="1" spans="1:8">
      <c r="A1745" s="6">
        <v>1743</v>
      </c>
      <c r="B1745" s="7" t="str">
        <f t="shared" si="411"/>
        <v>103</v>
      </c>
      <c r="C1745" s="7" t="s">
        <v>663</v>
      </c>
      <c r="D1745" s="7" t="s">
        <v>664</v>
      </c>
      <c r="E1745" s="7" t="str">
        <f>"蓝秋媛"</f>
        <v>蓝秋媛</v>
      </c>
      <c r="F1745" s="7" t="str">
        <f t="shared" si="421"/>
        <v>女</v>
      </c>
      <c r="G1745" s="7" t="s">
        <v>1524</v>
      </c>
      <c r="H1745" s="8"/>
    </row>
    <row r="1746" ht="25" customHeight="1" spans="1:8">
      <c r="A1746" s="6">
        <v>1744</v>
      </c>
      <c r="B1746" s="7" t="str">
        <f t="shared" si="411"/>
        <v>103</v>
      </c>
      <c r="C1746" s="7" t="s">
        <v>663</v>
      </c>
      <c r="D1746" s="7" t="s">
        <v>664</v>
      </c>
      <c r="E1746" s="7" t="str">
        <f>"麦明才"</f>
        <v>麦明才</v>
      </c>
      <c r="F1746" s="7" t="str">
        <f>"男"</f>
        <v>男</v>
      </c>
      <c r="G1746" s="7" t="s">
        <v>1525</v>
      </c>
      <c r="H1746" s="8"/>
    </row>
    <row r="1747" ht="25" customHeight="1" spans="1:8">
      <c r="A1747" s="6">
        <v>1745</v>
      </c>
      <c r="B1747" s="7" t="str">
        <f t="shared" si="411"/>
        <v>103</v>
      </c>
      <c r="C1747" s="7" t="s">
        <v>663</v>
      </c>
      <c r="D1747" s="7" t="s">
        <v>664</v>
      </c>
      <c r="E1747" s="7" t="str">
        <f>"吕佳璇"</f>
        <v>吕佳璇</v>
      </c>
      <c r="F1747" s="7" t="str">
        <f t="shared" ref="F1747:F1752" si="422">"女"</f>
        <v>女</v>
      </c>
      <c r="G1747" s="7" t="s">
        <v>709</v>
      </c>
      <c r="H1747" s="8"/>
    </row>
    <row r="1748" ht="25" customHeight="1" spans="1:8">
      <c r="A1748" s="6">
        <v>1746</v>
      </c>
      <c r="B1748" s="7" t="str">
        <f t="shared" si="411"/>
        <v>103</v>
      </c>
      <c r="C1748" s="7" t="s">
        <v>663</v>
      </c>
      <c r="D1748" s="7" t="s">
        <v>664</v>
      </c>
      <c r="E1748" s="7" t="str">
        <f>"段江晋"</f>
        <v>段江晋</v>
      </c>
      <c r="F1748" s="7" t="str">
        <f>"男"</f>
        <v>男</v>
      </c>
      <c r="G1748" s="7" t="s">
        <v>1526</v>
      </c>
      <c r="H1748" s="8"/>
    </row>
    <row r="1749" ht="25" customHeight="1" spans="1:8">
      <c r="A1749" s="6">
        <v>1747</v>
      </c>
      <c r="B1749" s="7" t="str">
        <f t="shared" si="411"/>
        <v>103</v>
      </c>
      <c r="C1749" s="7" t="s">
        <v>663</v>
      </c>
      <c r="D1749" s="7" t="s">
        <v>664</v>
      </c>
      <c r="E1749" s="7" t="str">
        <f>"陈雨欣"</f>
        <v>陈雨欣</v>
      </c>
      <c r="F1749" s="7" t="str">
        <f t="shared" si="422"/>
        <v>女</v>
      </c>
      <c r="G1749" s="7" t="s">
        <v>1527</v>
      </c>
      <c r="H1749" s="8"/>
    </row>
    <row r="1750" ht="25" customHeight="1" spans="1:8">
      <c r="A1750" s="6">
        <v>1748</v>
      </c>
      <c r="B1750" s="7" t="str">
        <f t="shared" si="411"/>
        <v>103</v>
      </c>
      <c r="C1750" s="7" t="s">
        <v>663</v>
      </c>
      <c r="D1750" s="7" t="s">
        <v>664</v>
      </c>
      <c r="E1750" s="7" t="str">
        <f>"罗仪"</f>
        <v>罗仪</v>
      </c>
      <c r="F1750" s="7" t="str">
        <f t="shared" si="422"/>
        <v>女</v>
      </c>
      <c r="G1750" s="7" t="s">
        <v>1528</v>
      </c>
      <c r="H1750" s="8"/>
    </row>
    <row r="1751" ht="25" customHeight="1" spans="1:8">
      <c r="A1751" s="6">
        <v>1749</v>
      </c>
      <c r="B1751" s="7" t="str">
        <f t="shared" si="411"/>
        <v>103</v>
      </c>
      <c r="C1751" s="7" t="s">
        <v>663</v>
      </c>
      <c r="D1751" s="7" t="s">
        <v>664</v>
      </c>
      <c r="E1751" s="7" t="str">
        <f>"苏高妹"</f>
        <v>苏高妹</v>
      </c>
      <c r="F1751" s="7" t="str">
        <f t="shared" si="422"/>
        <v>女</v>
      </c>
      <c r="G1751" s="7" t="s">
        <v>1529</v>
      </c>
      <c r="H1751" s="8"/>
    </row>
    <row r="1752" ht="25" customHeight="1" spans="1:8">
      <c r="A1752" s="6">
        <v>1750</v>
      </c>
      <c r="B1752" s="7" t="str">
        <f t="shared" si="411"/>
        <v>103</v>
      </c>
      <c r="C1752" s="7" t="s">
        <v>663</v>
      </c>
      <c r="D1752" s="7" t="s">
        <v>664</v>
      </c>
      <c r="E1752" s="7" t="str">
        <f>"陈洁"</f>
        <v>陈洁</v>
      </c>
      <c r="F1752" s="7" t="str">
        <f t="shared" si="422"/>
        <v>女</v>
      </c>
      <c r="G1752" s="7" t="s">
        <v>287</v>
      </c>
      <c r="H1752" s="8"/>
    </row>
    <row r="1753" ht="25" customHeight="1" spans="1:8">
      <c r="A1753" s="6">
        <v>1751</v>
      </c>
      <c r="B1753" s="7" t="str">
        <f t="shared" si="411"/>
        <v>103</v>
      </c>
      <c r="C1753" s="7" t="s">
        <v>663</v>
      </c>
      <c r="D1753" s="7" t="s">
        <v>664</v>
      </c>
      <c r="E1753" s="7" t="str">
        <f>"吴乾攀"</f>
        <v>吴乾攀</v>
      </c>
      <c r="F1753" s="7" t="str">
        <f t="shared" ref="F1753:F1758" si="423">"男"</f>
        <v>男</v>
      </c>
      <c r="G1753" s="7" t="s">
        <v>1530</v>
      </c>
      <c r="H1753" s="8"/>
    </row>
    <row r="1754" ht="25" customHeight="1" spans="1:8">
      <c r="A1754" s="6">
        <v>1752</v>
      </c>
      <c r="B1754" s="7" t="str">
        <f t="shared" si="411"/>
        <v>103</v>
      </c>
      <c r="C1754" s="7" t="s">
        <v>663</v>
      </c>
      <c r="D1754" s="7" t="s">
        <v>664</v>
      </c>
      <c r="E1754" s="7" t="str">
        <f>"麦秀妃"</f>
        <v>麦秀妃</v>
      </c>
      <c r="F1754" s="7" t="str">
        <f t="shared" ref="F1754:F1759" si="424">"女"</f>
        <v>女</v>
      </c>
      <c r="G1754" s="7" t="s">
        <v>1531</v>
      </c>
      <c r="H1754" s="8"/>
    </row>
    <row r="1755" ht="25" customHeight="1" spans="1:8">
      <c r="A1755" s="6">
        <v>1753</v>
      </c>
      <c r="B1755" s="7" t="str">
        <f t="shared" si="411"/>
        <v>103</v>
      </c>
      <c r="C1755" s="7" t="s">
        <v>663</v>
      </c>
      <c r="D1755" s="7" t="s">
        <v>664</v>
      </c>
      <c r="E1755" s="7" t="str">
        <f>"李益欣"</f>
        <v>李益欣</v>
      </c>
      <c r="F1755" s="7" t="str">
        <f t="shared" si="424"/>
        <v>女</v>
      </c>
      <c r="G1755" s="7" t="s">
        <v>1532</v>
      </c>
      <c r="H1755" s="8"/>
    </row>
    <row r="1756" ht="25" customHeight="1" spans="1:8">
      <c r="A1756" s="6">
        <v>1754</v>
      </c>
      <c r="B1756" s="7" t="str">
        <f t="shared" si="411"/>
        <v>103</v>
      </c>
      <c r="C1756" s="7" t="s">
        <v>663</v>
      </c>
      <c r="D1756" s="7" t="s">
        <v>664</v>
      </c>
      <c r="E1756" s="7" t="str">
        <f>"潘智鹏"</f>
        <v>潘智鹏</v>
      </c>
      <c r="F1756" s="7" t="str">
        <f t="shared" si="423"/>
        <v>男</v>
      </c>
      <c r="G1756" s="7" t="s">
        <v>1533</v>
      </c>
      <c r="H1756" s="8"/>
    </row>
    <row r="1757" ht="25" customHeight="1" spans="1:8">
      <c r="A1757" s="6">
        <v>1755</v>
      </c>
      <c r="B1757" s="7" t="str">
        <f t="shared" si="411"/>
        <v>103</v>
      </c>
      <c r="C1757" s="7" t="s">
        <v>663</v>
      </c>
      <c r="D1757" s="7" t="s">
        <v>664</v>
      </c>
      <c r="E1757" s="7" t="str">
        <f>"林焕清"</f>
        <v>林焕清</v>
      </c>
      <c r="F1757" s="7" t="str">
        <f t="shared" si="423"/>
        <v>男</v>
      </c>
      <c r="G1757" s="7" t="s">
        <v>919</v>
      </c>
      <c r="H1757" s="8"/>
    </row>
    <row r="1758" ht="25" customHeight="1" spans="1:8">
      <c r="A1758" s="6">
        <v>1756</v>
      </c>
      <c r="B1758" s="7" t="str">
        <f t="shared" si="411"/>
        <v>103</v>
      </c>
      <c r="C1758" s="7" t="s">
        <v>663</v>
      </c>
      <c r="D1758" s="7" t="s">
        <v>664</v>
      </c>
      <c r="E1758" s="7" t="str">
        <f>"邢煜"</f>
        <v>邢煜</v>
      </c>
      <c r="F1758" s="7" t="str">
        <f t="shared" si="423"/>
        <v>男</v>
      </c>
      <c r="G1758" s="7" t="s">
        <v>808</v>
      </c>
      <c r="H1758" s="8"/>
    </row>
    <row r="1759" ht="25" customHeight="1" spans="1:8">
      <c r="A1759" s="6">
        <v>1757</v>
      </c>
      <c r="B1759" s="7" t="str">
        <f t="shared" si="411"/>
        <v>103</v>
      </c>
      <c r="C1759" s="7" t="s">
        <v>663</v>
      </c>
      <c r="D1759" s="7" t="s">
        <v>664</v>
      </c>
      <c r="E1759" s="7" t="str">
        <f>"郑丹珍"</f>
        <v>郑丹珍</v>
      </c>
      <c r="F1759" s="7" t="str">
        <f t="shared" si="424"/>
        <v>女</v>
      </c>
      <c r="G1759" s="7" t="s">
        <v>1534</v>
      </c>
      <c r="H1759" s="8"/>
    </row>
    <row r="1760" ht="25" customHeight="1" spans="1:8">
      <c r="A1760" s="6">
        <v>1758</v>
      </c>
      <c r="B1760" s="7" t="str">
        <f t="shared" si="411"/>
        <v>103</v>
      </c>
      <c r="C1760" s="7" t="s">
        <v>663</v>
      </c>
      <c r="D1760" s="7" t="s">
        <v>664</v>
      </c>
      <c r="E1760" s="7" t="str">
        <f>"黎扬星"</f>
        <v>黎扬星</v>
      </c>
      <c r="F1760" s="7" t="str">
        <f t="shared" ref="F1760:F1762" si="425">"男"</f>
        <v>男</v>
      </c>
      <c r="G1760" s="7" t="s">
        <v>1535</v>
      </c>
      <c r="H1760" s="8"/>
    </row>
    <row r="1761" ht="25" customHeight="1" spans="1:8">
      <c r="A1761" s="6">
        <v>1759</v>
      </c>
      <c r="B1761" s="7" t="str">
        <f t="shared" si="411"/>
        <v>103</v>
      </c>
      <c r="C1761" s="7" t="s">
        <v>663</v>
      </c>
      <c r="D1761" s="7" t="s">
        <v>664</v>
      </c>
      <c r="E1761" s="7" t="str">
        <f>"吴天健"</f>
        <v>吴天健</v>
      </c>
      <c r="F1761" s="7" t="str">
        <f t="shared" si="425"/>
        <v>男</v>
      </c>
      <c r="G1761" s="7" t="s">
        <v>1536</v>
      </c>
      <c r="H1761" s="8"/>
    </row>
    <row r="1762" ht="25" customHeight="1" spans="1:8">
      <c r="A1762" s="6">
        <v>1760</v>
      </c>
      <c r="B1762" s="7" t="str">
        <f t="shared" si="411"/>
        <v>103</v>
      </c>
      <c r="C1762" s="7" t="s">
        <v>663</v>
      </c>
      <c r="D1762" s="7" t="s">
        <v>664</v>
      </c>
      <c r="E1762" s="7" t="str">
        <f>"周子涵"</f>
        <v>周子涵</v>
      </c>
      <c r="F1762" s="7" t="str">
        <f t="shared" si="425"/>
        <v>男</v>
      </c>
      <c r="G1762" s="7" t="s">
        <v>1537</v>
      </c>
      <c r="H1762" s="8"/>
    </row>
    <row r="1763" ht="25" customHeight="1" spans="1:8">
      <c r="A1763" s="6">
        <v>1761</v>
      </c>
      <c r="B1763" s="7" t="str">
        <f t="shared" si="411"/>
        <v>103</v>
      </c>
      <c r="C1763" s="7" t="s">
        <v>663</v>
      </c>
      <c r="D1763" s="7" t="s">
        <v>664</v>
      </c>
      <c r="E1763" s="7" t="str">
        <f>"符影"</f>
        <v>符影</v>
      </c>
      <c r="F1763" s="7" t="str">
        <f t="shared" ref="F1763:F1773" si="426">"女"</f>
        <v>女</v>
      </c>
      <c r="G1763" s="7" t="s">
        <v>1538</v>
      </c>
      <c r="H1763" s="8"/>
    </row>
    <row r="1764" ht="25" customHeight="1" spans="1:8">
      <c r="A1764" s="6">
        <v>1762</v>
      </c>
      <c r="B1764" s="7" t="str">
        <f t="shared" si="411"/>
        <v>103</v>
      </c>
      <c r="C1764" s="7" t="s">
        <v>663</v>
      </c>
      <c r="D1764" s="7" t="s">
        <v>664</v>
      </c>
      <c r="E1764" s="7" t="str">
        <f>"黄绮"</f>
        <v>黄绮</v>
      </c>
      <c r="F1764" s="7" t="str">
        <f t="shared" si="426"/>
        <v>女</v>
      </c>
      <c r="G1764" s="7" t="s">
        <v>1539</v>
      </c>
      <c r="H1764" s="8"/>
    </row>
    <row r="1765" ht="25" customHeight="1" spans="1:8">
      <c r="A1765" s="6">
        <v>1763</v>
      </c>
      <c r="B1765" s="7" t="str">
        <f t="shared" si="411"/>
        <v>103</v>
      </c>
      <c r="C1765" s="7" t="s">
        <v>663</v>
      </c>
      <c r="D1765" s="7" t="s">
        <v>664</v>
      </c>
      <c r="E1765" s="7" t="str">
        <f>"谭光如"</f>
        <v>谭光如</v>
      </c>
      <c r="F1765" s="7" t="str">
        <f>"男"</f>
        <v>男</v>
      </c>
      <c r="G1765" s="7" t="s">
        <v>1540</v>
      </c>
      <c r="H1765" s="8"/>
    </row>
    <row r="1766" ht="25" customHeight="1" spans="1:8">
      <c r="A1766" s="6">
        <v>1764</v>
      </c>
      <c r="B1766" s="7" t="str">
        <f t="shared" si="411"/>
        <v>103</v>
      </c>
      <c r="C1766" s="7" t="s">
        <v>663</v>
      </c>
      <c r="D1766" s="7" t="s">
        <v>664</v>
      </c>
      <c r="E1766" s="7" t="str">
        <f>"袁昊天"</f>
        <v>袁昊天</v>
      </c>
      <c r="F1766" s="7" t="str">
        <f>"男"</f>
        <v>男</v>
      </c>
      <c r="G1766" s="7" t="s">
        <v>1541</v>
      </c>
      <c r="H1766" s="8"/>
    </row>
    <row r="1767" ht="25" customHeight="1" spans="1:8">
      <c r="A1767" s="6">
        <v>1765</v>
      </c>
      <c r="B1767" s="7" t="str">
        <f t="shared" si="411"/>
        <v>103</v>
      </c>
      <c r="C1767" s="7" t="s">
        <v>663</v>
      </c>
      <c r="D1767" s="7" t="s">
        <v>664</v>
      </c>
      <c r="E1767" s="7" t="str">
        <f>"戴星星"</f>
        <v>戴星星</v>
      </c>
      <c r="F1767" s="7" t="str">
        <f t="shared" si="426"/>
        <v>女</v>
      </c>
      <c r="G1767" s="7" t="s">
        <v>1542</v>
      </c>
      <c r="H1767" s="8"/>
    </row>
    <row r="1768" ht="25" customHeight="1" spans="1:8">
      <c r="A1768" s="6">
        <v>1766</v>
      </c>
      <c r="B1768" s="7" t="str">
        <f t="shared" ref="B1768:B1831" si="427">"103"</f>
        <v>103</v>
      </c>
      <c r="C1768" s="7" t="s">
        <v>663</v>
      </c>
      <c r="D1768" s="7" t="s">
        <v>664</v>
      </c>
      <c r="E1768" s="7" t="str">
        <f>"笪王萍"</f>
        <v>笪王萍</v>
      </c>
      <c r="F1768" s="7" t="str">
        <f t="shared" si="426"/>
        <v>女</v>
      </c>
      <c r="G1768" s="7" t="s">
        <v>1543</v>
      </c>
      <c r="H1768" s="8"/>
    </row>
    <row r="1769" ht="25" customHeight="1" spans="1:8">
      <c r="A1769" s="6">
        <v>1767</v>
      </c>
      <c r="B1769" s="7" t="str">
        <f t="shared" si="427"/>
        <v>103</v>
      </c>
      <c r="C1769" s="7" t="s">
        <v>663</v>
      </c>
      <c r="D1769" s="7" t="s">
        <v>664</v>
      </c>
      <c r="E1769" s="7" t="str">
        <f>"吴汉珍"</f>
        <v>吴汉珍</v>
      </c>
      <c r="F1769" s="7" t="str">
        <f t="shared" si="426"/>
        <v>女</v>
      </c>
      <c r="G1769" s="7" t="s">
        <v>1544</v>
      </c>
      <c r="H1769" s="8"/>
    </row>
    <row r="1770" ht="25" customHeight="1" spans="1:8">
      <c r="A1770" s="6">
        <v>1768</v>
      </c>
      <c r="B1770" s="7" t="str">
        <f t="shared" si="427"/>
        <v>103</v>
      </c>
      <c r="C1770" s="7" t="s">
        <v>663</v>
      </c>
      <c r="D1770" s="7" t="s">
        <v>664</v>
      </c>
      <c r="E1770" s="7" t="str">
        <f>"黄金翠"</f>
        <v>黄金翠</v>
      </c>
      <c r="F1770" s="7" t="str">
        <f t="shared" si="426"/>
        <v>女</v>
      </c>
      <c r="G1770" s="7" t="s">
        <v>23</v>
      </c>
      <c r="H1770" s="8"/>
    </row>
    <row r="1771" ht="25" customHeight="1" spans="1:8">
      <c r="A1771" s="6">
        <v>1769</v>
      </c>
      <c r="B1771" s="7" t="str">
        <f t="shared" si="427"/>
        <v>103</v>
      </c>
      <c r="C1771" s="7" t="s">
        <v>663</v>
      </c>
      <c r="D1771" s="7" t="s">
        <v>664</v>
      </c>
      <c r="E1771" s="7" t="str">
        <f>"蔡金珊"</f>
        <v>蔡金珊</v>
      </c>
      <c r="F1771" s="7" t="str">
        <f t="shared" si="426"/>
        <v>女</v>
      </c>
      <c r="G1771" s="7" t="s">
        <v>1545</v>
      </c>
      <c r="H1771" s="8"/>
    </row>
    <row r="1772" ht="25" customHeight="1" spans="1:8">
      <c r="A1772" s="6">
        <v>1770</v>
      </c>
      <c r="B1772" s="7" t="str">
        <f t="shared" si="427"/>
        <v>103</v>
      </c>
      <c r="C1772" s="7" t="s">
        <v>663</v>
      </c>
      <c r="D1772" s="7" t="s">
        <v>664</v>
      </c>
      <c r="E1772" s="7" t="str">
        <f>"罗海琼"</f>
        <v>罗海琼</v>
      </c>
      <c r="F1772" s="7" t="str">
        <f t="shared" si="426"/>
        <v>女</v>
      </c>
      <c r="G1772" s="7" t="s">
        <v>1546</v>
      </c>
      <c r="H1772" s="8"/>
    </row>
    <row r="1773" ht="25" customHeight="1" spans="1:8">
      <c r="A1773" s="6">
        <v>1771</v>
      </c>
      <c r="B1773" s="7" t="str">
        <f t="shared" si="427"/>
        <v>103</v>
      </c>
      <c r="C1773" s="7" t="s">
        <v>663</v>
      </c>
      <c r="D1773" s="7" t="s">
        <v>664</v>
      </c>
      <c r="E1773" s="7" t="str">
        <f>"罗洲"</f>
        <v>罗洲</v>
      </c>
      <c r="F1773" s="7" t="str">
        <f t="shared" si="426"/>
        <v>女</v>
      </c>
      <c r="G1773" s="7" t="s">
        <v>1547</v>
      </c>
      <c r="H1773" s="8"/>
    </row>
    <row r="1774" ht="25" customHeight="1" spans="1:8">
      <c r="A1774" s="6">
        <v>1772</v>
      </c>
      <c r="B1774" s="7" t="str">
        <f t="shared" si="427"/>
        <v>103</v>
      </c>
      <c r="C1774" s="7" t="s">
        <v>663</v>
      </c>
      <c r="D1774" s="7" t="s">
        <v>664</v>
      </c>
      <c r="E1774" s="7" t="str">
        <f>"符绪伟"</f>
        <v>符绪伟</v>
      </c>
      <c r="F1774" s="7" t="str">
        <f t="shared" ref="F1774:F1777" si="428">"男"</f>
        <v>男</v>
      </c>
      <c r="G1774" s="7" t="s">
        <v>1548</v>
      </c>
      <c r="H1774" s="8"/>
    </row>
    <row r="1775" ht="25" customHeight="1" spans="1:8">
      <c r="A1775" s="6">
        <v>1773</v>
      </c>
      <c r="B1775" s="7" t="str">
        <f t="shared" si="427"/>
        <v>103</v>
      </c>
      <c r="C1775" s="7" t="s">
        <v>663</v>
      </c>
      <c r="D1775" s="7" t="s">
        <v>664</v>
      </c>
      <c r="E1775" s="7" t="str">
        <f>"羊进明"</f>
        <v>羊进明</v>
      </c>
      <c r="F1775" s="7" t="str">
        <f t="shared" si="428"/>
        <v>男</v>
      </c>
      <c r="G1775" s="7" t="s">
        <v>1549</v>
      </c>
      <c r="H1775" s="8"/>
    </row>
    <row r="1776" ht="25" customHeight="1" spans="1:8">
      <c r="A1776" s="6">
        <v>1774</v>
      </c>
      <c r="B1776" s="7" t="str">
        <f t="shared" si="427"/>
        <v>103</v>
      </c>
      <c r="C1776" s="7" t="s">
        <v>663</v>
      </c>
      <c r="D1776" s="7" t="s">
        <v>664</v>
      </c>
      <c r="E1776" s="7" t="str">
        <f>"王浩宇"</f>
        <v>王浩宇</v>
      </c>
      <c r="F1776" s="7" t="str">
        <f t="shared" si="428"/>
        <v>男</v>
      </c>
      <c r="G1776" s="7" t="s">
        <v>1550</v>
      </c>
      <c r="H1776" s="8"/>
    </row>
    <row r="1777" ht="25" customHeight="1" spans="1:8">
      <c r="A1777" s="6">
        <v>1775</v>
      </c>
      <c r="B1777" s="7" t="str">
        <f t="shared" si="427"/>
        <v>103</v>
      </c>
      <c r="C1777" s="7" t="s">
        <v>663</v>
      </c>
      <c r="D1777" s="7" t="s">
        <v>664</v>
      </c>
      <c r="E1777" s="7" t="str">
        <f>"麦名成"</f>
        <v>麦名成</v>
      </c>
      <c r="F1777" s="7" t="str">
        <f t="shared" si="428"/>
        <v>男</v>
      </c>
      <c r="G1777" s="7" t="s">
        <v>1551</v>
      </c>
      <c r="H1777" s="8"/>
    </row>
    <row r="1778" ht="25" customHeight="1" spans="1:8">
      <c r="A1778" s="6">
        <v>1776</v>
      </c>
      <c r="B1778" s="7" t="str">
        <f t="shared" si="427"/>
        <v>103</v>
      </c>
      <c r="C1778" s="7" t="s">
        <v>663</v>
      </c>
      <c r="D1778" s="7" t="s">
        <v>664</v>
      </c>
      <c r="E1778" s="7" t="str">
        <f>"刘依霖"</f>
        <v>刘依霖</v>
      </c>
      <c r="F1778" s="7" t="str">
        <f t="shared" ref="F1778:F1781" si="429">"女"</f>
        <v>女</v>
      </c>
      <c r="G1778" s="7" t="s">
        <v>1552</v>
      </c>
      <c r="H1778" s="8"/>
    </row>
    <row r="1779" ht="25" customHeight="1" spans="1:8">
      <c r="A1779" s="6">
        <v>1777</v>
      </c>
      <c r="B1779" s="7" t="str">
        <f t="shared" si="427"/>
        <v>103</v>
      </c>
      <c r="C1779" s="7" t="s">
        <v>663</v>
      </c>
      <c r="D1779" s="7" t="s">
        <v>664</v>
      </c>
      <c r="E1779" s="7" t="str">
        <f>"郑秋婷"</f>
        <v>郑秋婷</v>
      </c>
      <c r="F1779" s="7" t="str">
        <f t="shared" si="429"/>
        <v>女</v>
      </c>
      <c r="G1779" s="7" t="s">
        <v>1553</v>
      </c>
      <c r="H1779" s="8"/>
    </row>
    <row r="1780" ht="25" customHeight="1" spans="1:8">
      <c r="A1780" s="6">
        <v>1778</v>
      </c>
      <c r="B1780" s="7" t="str">
        <f t="shared" si="427"/>
        <v>103</v>
      </c>
      <c r="C1780" s="7" t="s">
        <v>663</v>
      </c>
      <c r="D1780" s="7" t="s">
        <v>664</v>
      </c>
      <c r="E1780" s="7" t="str">
        <f>"彭永贵"</f>
        <v>彭永贵</v>
      </c>
      <c r="F1780" s="7" t="str">
        <f t="shared" ref="F1780:F1785" si="430">"男"</f>
        <v>男</v>
      </c>
      <c r="G1780" s="7" t="s">
        <v>1554</v>
      </c>
      <c r="H1780" s="8"/>
    </row>
    <row r="1781" ht="25" customHeight="1" spans="1:8">
      <c r="A1781" s="6">
        <v>1779</v>
      </c>
      <c r="B1781" s="7" t="str">
        <f t="shared" si="427"/>
        <v>103</v>
      </c>
      <c r="C1781" s="7" t="s">
        <v>663</v>
      </c>
      <c r="D1781" s="7" t="s">
        <v>664</v>
      </c>
      <c r="E1781" s="7" t="str">
        <f>"柯俊婕"</f>
        <v>柯俊婕</v>
      </c>
      <c r="F1781" s="7" t="str">
        <f t="shared" si="429"/>
        <v>女</v>
      </c>
      <c r="G1781" s="7" t="s">
        <v>376</v>
      </c>
      <c r="H1781" s="8"/>
    </row>
    <row r="1782" ht="25" customHeight="1" spans="1:8">
      <c r="A1782" s="6">
        <v>1780</v>
      </c>
      <c r="B1782" s="7" t="str">
        <f t="shared" si="427"/>
        <v>103</v>
      </c>
      <c r="C1782" s="7" t="s">
        <v>663</v>
      </c>
      <c r="D1782" s="7" t="s">
        <v>664</v>
      </c>
      <c r="E1782" s="7" t="str">
        <f>"董凯特"</f>
        <v>董凯特</v>
      </c>
      <c r="F1782" s="7" t="str">
        <f t="shared" si="430"/>
        <v>男</v>
      </c>
      <c r="G1782" s="7" t="s">
        <v>1555</v>
      </c>
      <c r="H1782" s="8"/>
    </row>
    <row r="1783" ht="25" customHeight="1" spans="1:8">
      <c r="A1783" s="6">
        <v>1781</v>
      </c>
      <c r="B1783" s="7" t="str">
        <f t="shared" si="427"/>
        <v>103</v>
      </c>
      <c r="C1783" s="7" t="s">
        <v>663</v>
      </c>
      <c r="D1783" s="7" t="s">
        <v>664</v>
      </c>
      <c r="E1783" s="7" t="str">
        <f>"陈昱妃"</f>
        <v>陈昱妃</v>
      </c>
      <c r="F1783" s="7" t="str">
        <f t="shared" ref="F1783:F1788" si="431">"女"</f>
        <v>女</v>
      </c>
      <c r="G1783" s="7" t="s">
        <v>1556</v>
      </c>
      <c r="H1783" s="8"/>
    </row>
    <row r="1784" ht="25" customHeight="1" spans="1:8">
      <c r="A1784" s="6">
        <v>1782</v>
      </c>
      <c r="B1784" s="7" t="str">
        <f t="shared" si="427"/>
        <v>103</v>
      </c>
      <c r="C1784" s="7" t="s">
        <v>663</v>
      </c>
      <c r="D1784" s="7" t="s">
        <v>664</v>
      </c>
      <c r="E1784" s="7" t="str">
        <f>"陈家湾"</f>
        <v>陈家湾</v>
      </c>
      <c r="F1784" s="7" t="str">
        <f t="shared" si="430"/>
        <v>男</v>
      </c>
      <c r="G1784" s="7" t="s">
        <v>1353</v>
      </c>
      <c r="H1784" s="8"/>
    </row>
    <row r="1785" ht="25" customHeight="1" spans="1:8">
      <c r="A1785" s="6">
        <v>1783</v>
      </c>
      <c r="B1785" s="7" t="str">
        <f t="shared" si="427"/>
        <v>103</v>
      </c>
      <c r="C1785" s="7" t="s">
        <v>663</v>
      </c>
      <c r="D1785" s="7" t="s">
        <v>664</v>
      </c>
      <c r="E1785" s="7" t="str">
        <f>"符绩新"</f>
        <v>符绩新</v>
      </c>
      <c r="F1785" s="7" t="str">
        <f t="shared" si="430"/>
        <v>男</v>
      </c>
      <c r="G1785" s="7" t="s">
        <v>724</v>
      </c>
      <c r="H1785" s="8"/>
    </row>
    <row r="1786" ht="25" customHeight="1" spans="1:8">
      <c r="A1786" s="6">
        <v>1784</v>
      </c>
      <c r="B1786" s="7" t="str">
        <f t="shared" si="427"/>
        <v>103</v>
      </c>
      <c r="C1786" s="7" t="s">
        <v>663</v>
      </c>
      <c r="D1786" s="7" t="s">
        <v>664</v>
      </c>
      <c r="E1786" s="7" t="str">
        <f>"胡丽艳"</f>
        <v>胡丽艳</v>
      </c>
      <c r="F1786" s="7" t="str">
        <f t="shared" si="431"/>
        <v>女</v>
      </c>
      <c r="G1786" s="7" t="s">
        <v>1557</v>
      </c>
      <c r="H1786" s="8"/>
    </row>
    <row r="1787" ht="25" customHeight="1" spans="1:8">
      <c r="A1787" s="6">
        <v>1785</v>
      </c>
      <c r="B1787" s="7" t="str">
        <f t="shared" si="427"/>
        <v>103</v>
      </c>
      <c r="C1787" s="7" t="s">
        <v>663</v>
      </c>
      <c r="D1787" s="7" t="s">
        <v>664</v>
      </c>
      <c r="E1787" s="7" t="str">
        <f>"唐春萍"</f>
        <v>唐春萍</v>
      </c>
      <c r="F1787" s="7" t="str">
        <f t="shared" si="431"/>
        <v>女</v>
      </c>
      <c r="G1787" s="7" t="s">
        <v>1558</v>
      </c>
      <c r="H1787" s="8"/>
    </row>
    <row r="1788" ht="25" customHeight="1" spans="1:8">
      <c r="A1788" s="6">
        <v>1786</v>
      </c>
      <c r="B1788" s="7" t="str">
        <f t="shared" si="427"/>
        <v>103</v>
      </c>
      <c r="C1788" s="7" t="s">
        <v>663</v>
      </c>
      <c r="D1788" s="7" t="s">
        <v>664</v>
      </c>
      <c r="E1788" s="7" t="str">
        <f>"林达"</f>
        <v>林达</v>
      </c>
      <c r="F1788" s="7" t="str">
        <f t="shared" si="431"/>
        <v>女</v>
      </c>
      <c r="G1788" s="7" t="s">
        <v>1559</v>
      </c>
      <c r="H1788" s="8"/>
    </row>
    <row r="1789" ht="25" customHeight="1" spans="1:8">
      <c r="A1789" s="6">
        <v>1787</v>
      </c>
      <c r="B1789" s="7" t="str">
        <f t="shared" si="427"/>
        <v>103</v>
      </c>
      <c r="C1789" s="7" t="s">
        <v>663</v>
      </c>
      <c r="D1789" s="7" t="s">
        <v>664</v>
      </c>
      <c r="E1789" s="7" t="str">
        <f>"吴小天"</f>
        <v>吴小天</v>
      </c>
      <c r="F1789" s="7" t="str">
        <f t="shared" ref="F1789:F1792" si="432">"男"</f>
        <v>男</v>
      </c>
      <c r="G1789" s="7" t="s">
        <v>1560</v>
      </c>
      <c r="H1789" s="8"/>
    </row>
    <row r="1790" ht="25" customHeight="1" spans="1:8">
      <c r="A1790" s="6">
        <v>1788</v>
      </c>
      <c r="B1790" s="7" t="str">
        <f t="shared" si="427"/>
        <v>103</v>
      </c>
      <c r="C1790" s="7" t="s">
        <v>663</v>
      </c>
      <c r="D1790" s="7" t="s">
        <v>664</v>
      </c>
      <c r="E1790" s="7" t="str">
        <f>"陈名亮"</f>
        <v>陈名亮</v>
      </c>
      <c r="F1790" s="7" t="str">
        <f t="shared" si="432"/>
        <v>男</v>
      </c>
      <c r="G1790" s="7" t="s">
        <v>1561</v>
      </c>
      <c r="H1790" s="8"/>
    </row>
    <row r="1791" ht="25" customHeight="1" spans="1:8">
      <c r="A1791" s="6">
        <v>1789</v>
      </c>
      <c r="B1791" s="7" t="str">
        <f t="shared" si="427"/>
        <v>103</v>
      </c>
      <c r="C1791" s="7" t="s">
        <v>663</v>
      </c>
      <c r="D1791" s="7" t="s">
        <v>664</v>
      </c>
      <c r="E1791" s="7" t="str">
        <f>"王霖渤"</f>
        <v>王霖渤</v>
      </c>
      <c r="F1791" s="7" t="str">
        <f t="shared" si="432"/>
        <v>男</v>
      </c>
      <c r="G1791" s="7" t="s">
        <v>1562</v>
      </c>
      <c r="H1791" s="8"/>
    </row>
    <row r="1792" ht="25" customHeight="1" spans="1:8">
      <c r="A1792" s="6">
        <v>1790</v>
      </c>
      <c r="B1792" s="7" t="str">
        <f t="shared" si="427"/>
        <v>103</v>
      </c>
      <c r="C1792" s="7" t="s">
        <v>663</v>
      </c>
      <c r="D1792" s="7" t="s">
        <v>664</v>
      </c>
      <c r="E1792" s="7" t="str">
        <f>"孙燕彬"</f>
        <v>孙燕彬</v>
      </c>
      <c r="F1792" s="7" t="str">
        <f t="shared" si="432"/>
        <v>男</v>
      </c>
      <c r="G1792" s="7" t="s">
        <v>380</v>
      </c>
      <c r="H1792" s="8"/>
    </row>
    <row r="1793" ht="25" customHeight="1" spans="1:8">
      <c r="A1793" s="6">
        <v>1791</v>
      </c>
      <c r="B1793" s="7" t="str">
        <f t="shared" si="427"/>
        <v>103</v>
      </c>
      <c r="C1793" s="7" t="s">
        <v>663</v>
      </c>
      <c r="D1793" s="7" t="s">
        <v>664</v>
      </c>
      <c r="E1793" s="7" t="str">
        <f>"潘云茜"</f>
        <v>潘云茜</v>
      </c>
      <c r="F1793" s="7" t="str">
        <f t="shared" ref="F1793:F1796" si="433">"女"</f>
        <v>女</v>
      </c>
      <c r="G1793" s="7" t="s">
        <v>1563</v>
      </c>
      <c r="H1793" s="8"/>
    </row>
    <row r="1794" ht="25" customHeight="1" spans="1:8">
      <c r="A1794" s="6">
        <v>1792</v>
      </c>
      <c r="B1794" s="7" t="str">
        <f t="shared" si="427"/>
        <v>103</v>
      </c>
      <c r="C1794" s="7" t="s">
        <v>663</v>
      </c>
      <c r="D1794" s="7" t="s">
        <v>664</v>
      </c>
      <c r="E1794" s="7" t="str">
        <f>"郑晓玲"</f>
        <v>郑晓玲</v>
      </c>
      <c r="F1794" s="7" t="str">
        <f t="shared" si="433"/>
        <v>女</v>
      </c>
      <c r="G1794" s="7" t="s">
        <v>1564</v>
      </c>
      <c r="H1794" s="8"/>
    </row>
    <row r="1795" ht="25" customHeight="1" spans="1:8">
      <c r="A1795" s="6">
        <v>1793</v>
      </c>
      <c r="B1795" s="7" t="str">
        <f t="shared" si="427"/>
        <v>103</v>
      </c>
      <c r="C1795" s="7" t="s">
        <v>663</v>
      </c>
      <c r="D1795" s="7" t="s">
        <v>664</v>
      </c>
      <c r="E1795" s="7" t="str">
        <f>"王南"</f>
        <v>王南</v>
      </c>
      <c r="F1795" s="7" t="str">
        <f t="shared" si="433"/>
        <v>女</v>
      </c>
      <c r="G1795" s="7" t="s">
        <v>1565</v>
      </c>
      <c r="H1795" s="8"/>
    </row>
    <row r="1796" ht="25" customHeight="1" spans="1:8">
      <c r="A1796" s="6">
        <v>1794</v>
      </c>
      <c r="B1796" s="7" t="str">
        <f t="shared" si="427"/>
        <v>103</v>
      </c>
      <c r="C1796" s="7" t="s">
        <v>663</v>
      </c>
      <c r="D1796" s="7" t="s">
        <v>664</v>
      </c>
      <c r="E1796" s="7" t="str">
        <f>"胡春雨"</f>
        <v>胡春雨</v>
      </c>
      <c r="F1796" s="7" t="str">
        <f t="shared" si="433"/>
        <v>女</v>
      </c>
      <c r="G1796" s="7" t="s">
        <v>375</v>
      </c>
      <c r="H1796" s="8"/>
    </row>
    <row r="1797" ht="25" customHeight="1" spans="1:8">
      <c r="A1797" s="6">
        <v>1795</v>
      </c>
      <c r="B1797" s="7" t="str">
        <f t="shared" si="427"/>
        <v>103</v>
      </c>
      <c r="C1797" s="7" t="s">
        <v>663</v>
      </c>
      <c r="D1797" s="7" t="s">
        <v>664</v>
      </c>
      <c r="E1797" s="7" t="str">
        <f>"周磊"</f>
        <v>周磊</v>
      </c>
      <c r="F1797" s="7" t="str">
        <f>"男"</f>
        <v>男</v>
      </c>
      <c r="G1797" s="7" t="s">
        <v>1566</v>
      </c>
      <c r="H1797" s="8"/>
    </row>
    <row r="1798" ht="25" customHeight="1" spans="1:8">
      <c r="A1798" s="6">
        <v>1796</v>
      </c>
      <c r="B1798" s="7" t="str">
        <f t="shared" si="427"/>
        <v>103</v>
      </c>
      <c r="C1798" s="7" t="s">
        <v>663</v>
      </c>
      <c r="D1798" s="7" t="s">
        <v>664</v>
      </c>
      <c r="E1798" s="7" t="str">
        <f>"王婷婷"</f>
        <v>王婷婷</v>
      </c>
      <c r="F1798" s="7" t="str">
        <f t="shared" ref="F1798:F1803" si="434">"女"</f>
        <v>女</v>
      </c>
      <c r="G1798" s="7" t="s">
        <v>1567</v>
      </c>
      <c r="H1798" s="8"/>
    </row>
    <row r="1799" ht="25" customHeight="1" spans="1:8">
      <c r="A1799" s="6">
        <v>1797</v>
      </c>
      <c r="B1799" s="7" t="str">
        <f t="shared" si="427"/>
        <v>103</v>
      </c>
      <c r="C1799" s="7" t="s">
        <v>663</v>
      </c>
      <c r="D1799" s="7" t="s">
        <v>664</v>
      </c>
      <c r="E1799" s="7" t="str">
        <f>"丁爽"</f>
        <v>丁爽</v>
      </c>
      <c r="F1799" s="7" t="str">
        <f t="shared" si="434"/>
        <v>女</v>
      </c>
      <c r="G1799" s="7" t="s">
        <v>1568</v>
      </c>
      <c r="H1799" s="8"/>
    </row>
    <row r="1800" ht="25" customHeight="1" spans="1:8">
      <c r="A1800" s="6">
        <v>1798</v>
      </c>
      <c r="B1800" s="7" t="str">
        <f t="shared" si="427"/>
        <v>103</v>
      </c>
      <c r="C1800" s="7" t="s">
        <v>663</v>
      </c>
      <c r="D1800" s="7" t="s">
        <v>664</v>
      </c>
      <c r="E1800" s="7" t="str">
        <f>"张运梧"</f>
        <v>张运梧</v>
      </c>
      <c r="F1800" s="7" t="str">
        <f>"男"</f>
        <v>男</v>
      </c>
      <c r="G1800" s="7" t="s">
        <v>1569</v>
      </c>
      <c r="H1800" s="8"/>
    </row>
    <row r="1801" ht="25" customHeight="1" spans="1:8">
      <c r="A1801" s="6">
        <v>1799</v>
      </c>
      <c r="B1801" s="7" t="str">
        <f t="shared" si="427"/>
        <v>103</v>
      </c>
      <c r="C1801" s="7" t="s">
        <v>663</v>
      </c>
      <c r="D1801" s="7" t="s">
        <v>664</v>
      </c>
      <c r="E1801" s="7" t="str">
        <f>"陈柳妃"</f>
        <v>陈柳妃</v>
      </c>
      <c r="F1801" s="7" t="str">
        <f t="shared" si="434"/>
        <v>女</v>
      </c>
      <c r="G1801" s="7" t="s">
        <v>1570</v>
      </c>
      <c r="H1801" s="8"/>
    </row>
    <row r="1802" ht="25" customHeight="1" spans="1:8">
      <c r="A1802" s="6">
        <v>1800</v>
      </c>
      <c r="B1802" s="7" t="str">
        <f t="shared" si="427"/>
        <v>103</v>
      </c>
      <c r="C1802" s="7" t="s">
        <v>663</v>
      </c>
      <c r="D1802" s="7" t="s">
        <v>664</v>
      </c>
      <c r="E1802" s="7" t="str">
        <f>"薛桂兰"</f>
        <v>薛桂兰</v>
      </c>
      <c r="F1802" s="7" t="str">
        <f t="shared" si="434"/>
        <v>女</v>
      </c>
      <c r="G1802" s="7" t="s">
        <v>338</v>
      </c>
      <c r="H1802" s="8"/>
    </row>
    <row r="1803" ht="25" customHeight="1" spans="1:8">
      <c r="A1803" s="6">
        <v>1801</v>
      </c>
      <c r="B1803" s="7" t="str">
        <f t="shared" si="427"/>
        <v>103</v>
      </c>
      <c r="C1803" s="7" t="s">
        <v>663</v>
      </c>
      <c r="D1803" s="7" t="s">
        <v>664</v>
      </c>
      <c r="E1803" s="7" t="str">
        <f>"李梦婷"</f>
        <v>李梦婷</v>
      </c>
      <c r="F1803" s="7" t="str">
        <f t="shared" si="434"/>
        <v>女</v>
      </c>
      <c r="G1803" s="7" t="s">
        <v>1571</v>
      </c>
      <c r="H1803" s="8"/>
    </row>
    <row r="1804" ht="25" customHeight="1" spans="1:8">
      <c r="A1804" s="6">
        <v>1802</v>
      </c>
      <c r="B1804" s="7" t="str">
        <f t="shared" si="427"/>
        <v>103</v>
      </c>
      <c r="C1804" s="7" t="s">
        <v>663</v>
      </c>
      <c r="D1804" s="7" t="s">
        <v>664</v>
      </c>
      <c r="E1804" s="7" t="str">
        <f>"符小宝"</f>
        <v>符小宝</v>
      </c>
      <c r="F1804" s="7" t="str">
        <f t="shared" ref="F1804:F1810" si="435">"男"</f>
        <v>男</v>
      </c>
      <c r="G1804" s="7" t="s">
        <v>1572</v>
      </c>
      <c r="H1804" s="8"/>
    </row>
    <row r="1805" ht="25" customHeight="1" spans="1:8">
      <c r="A1805" s="6">
        <v>1803</v>
      </c>
      <c r="B1805" s="7" t="str">
        <f t="shared" si="427"/>
        <v>103</v>
      </c>
      <c r="C1805" s="7" t="s">
        <v>663</v>
      </c>
      <c r="D1805" s="7" t="s">
        <v>664</v>
      </c>
      <c r="E1805" s="7" t="str">
        <f>"黄丽君"</f>
        <v>黄丽君</v>
      </c>
      <c r="F1805" s="7" t="str">
        <f>"女"</f>
        <v>女</v>
      </c>
      <c r="G1805" s="7" t="s">
        <v>1573</v>
      </c>
      <c r="H1805" s="8"/>
    </row>
    <row r="1806" ht="25" customHeight="1" spans="1:8">
      <c r="A1806" s="6">
        <v>1804</v>
      </c>
      <c r="B1806" s="7" t="str">
        <f t="shared" si="427"/>
        <v>103</v>
      </c>
      <c r="C1806" s="7" t="s">
        <v>663</v>
      </c>
      <c r="D1806" s="7" t="s">
        <v>664</v>
      </c>
      <c r="E1806" s="7" t="str">
        <f>"苏艺"</f>
        <v>苏艺</v>
      </c>
      <c r="F1806" s="7" t="str">
        <f>"女"</f>
        <v>女</v>
      </c>
      <c r="G1806" s="7" t="s">
        <v>1574</v>
      </c>
      <c r="H1806" s="8"/>
    </row>
    <row r="1807" ht="25" customHeight="1" spans="1:8">
      <c r="A1807" s="6">
        <v>1805</v>
      </c>
      <c r="B1807" s="7" t="str">
        <f t="shared" si="427"/>
        <v>103</v>
      </c>
      <c r="C1807" s="7" t="s">
        <v>663</v>
      </c>
      <c r="D1807" s="7" t="s">
        <v>664</v>
      </c>
      <c r="E1807" s="7" t="str">
        <f>"龙继杰"</f>
        <v>龙继杰</v>
      </c>
      <c r="F1807" s="7" t="str">
        <f t="shared" si="435"/>
        <v>男</v>
      </c>
      <c r="G1807" s="7" t="s">
        <v>1575</v>
      </c>
      <c r="H1807" s="8"/>
    </row>
    <row r="1808" ht="25" customHeight="1" spans="1:8">
      <c r="A1808" s="6">
        <v>1806</v>
      </c>
      <c r="B1808" s="7" t="str">
        <f t="shared" si="427"/>
        <v>103</v>
      </c>
      <c r="C1808" s="7" t="s">
        <v>663</v>
      </c>
      <c r="D1808" s="7" t="s">
        <v>664</v>
      </c>
      <c r="E1808" s="7" t="str">
        <f>"林昌煌"</f>
        <v>林昌煌</v>
      </c>
      <c r="F1808" s="7" t="str">
        <f t="shared" si="435"/>
        <v>男</v>
      </c>
      <c r="G1808" s="7" t="s">
        <v>1359</v>
      </c>
      <c r="H1808" s="8"/>
    </row>
    <row r="1809" ht="25" customHeight="1" spans="1:8">
      <c r="A1809" s="6">
        <v>1807</v>
      </c>
      <c r="B1809" s="7" t="str">
        <f t="shared" si="427"/>
        <v>103</v>
      </c>
      <c r="C1809" s="7" t="s">
        <v>663</v>
      </c>
      <c r="D1809" s="7" t="s">
        <v>664</v>
      </c>
      <c r="E1809" s="7" t="str">
        <f>"胡上杰"</f>
        <v>胡上杰</v>
      </c>
      <c r="F1809" s="7" t="str">
        <f t="shared" si="435"/>
        <v>男</v>
      </c>
      <c r="G1809" s="7" t="s">
        <v>1576</v>
      </c>
      <c r="H1809" s="8"/>
    </row>
    <row r="1810" ht="25" customHeight="1" spans="1:8">
      <c r="A1810" s="6">
        <v>1808</v>
      </c>
      <c r="B1810" s="7" t="str">
        <f t="shared" si="427"/>
        <v>103</v>
      </c>
      <c r="C1810" s="7" t="s">
        <v>663</v>
      </c>
      <c r="D1810" s="7" t="s">
        <v>664</v>
      </c>
      <c r="E1810" s="7" t="str">
        <f>"霍然"</f>
        <v>霍然</v>
      </c>
      <c r="F1810" s="7" t="str">
        <f t="shared" si="435"/>
        <v>男</v>
      </c>
      <c r="G1810" s="7" t="s">
        <v>1577</v>
      </c>
      <c r="H1810" s="8"/>
    </row>
    <row r="1811" ht="25" customHeight="1" spans="1:8">
      <c r="A1811" s="6">
        <v>1809</v>
      </c>
      <c r="B1811" s="7" t="str">
        <f t="shared" si="427"/>
        <v>103</v>
      </c>
      <c r="C1811" s="7" t="s">
        <v>663</v>
      </c>
      <c r="D1811" s="7" t="s">
        <v>664</v>
      </c>
      <c r="E1811" s="7" t="str">
        <f>"陈凤嫦"</f>
        <v>陈凤嫦</v>
      </c>
      <c r="F1811" s="7" t="str">
        <f t="shared" ref="F1811:F1815" si="436">"女"</f>
        <v>女</v>
      </c>
      <c r="G1811" s="7" t="s">
        <v>1578</v>
      </c>
      <c r="H1811" s="8"/>
    </row>
    <row r="1812" ht="25" customHeight="1" spans="1:8">
      <c r="A1812" s="6">
        <v>1810</v>
      </c>
      <c r="B1812" s="7" t="str">
        <f t="shared" si="427"/>
        <v>103</v>
      </c>
      <c r="C1812" s="7" t="s">
        <v>663</v>
      </c>
      <c r="D1812" s="7" t="s">
        <v>664</v>
      </c>
      <c r="E1812" s="7" t="str">
        <f>"沈春静"</f>
        <v>沈春静</v>
      </c>
      <c r="F1812" s="7" t="str">
        <f t="shared" si="436"/>
        <v>女</v>
      </c>
      <c r="G1812" s="7" t="s">
        <v>1579</v>
      </c>
      <c r="H1812" s="8"/>
    </row>
    <row r="1813" ht="25" customHeight="1" spans="1:8">
      <c r="A1813" s="6">
        <v>1811</v>
      </c>
      <c r="B1813" s="7" t="str">
        <f t="shared" si="427"/>
        <v>103</v>
      </c>
      <c r="C1813" s="7" t="s">
        <v>663</v>
      </c>
      <c r="D1813" s="7" t="s">
        <v>664</v>
      </c>
      <c r="E1813" s="7" t="str">
        <f>"郭莹燕"</f>
        <v>郭莹燕</v>
      </c>
      <c r="F1813" s="7" t="str">
        <f t="shared" si="436"/>
        <v>女</v>
      </c>
      <c r="G1813" s="7" t="s">
        <v>1580</v>
      </c>
      <c r="H1813" s="8"/>
    </row>
    <row r="1814" ht="25" customHeight="1" spans="1:8">
      <c r="A1814" s="6">
        <v>1812</v>
      </c>
      <c r="B1814" s="7" t="str">
        <f t="shared" si="427"/>
        <v>103</v>
      </c>
      <c r="C1814" s="7" t="s">
        <v>663</v>
      </c>
      <c r="D1814" s="7" t="s">
        <v>664</v>
      </c>
      <c r="E1814" s="7" t="str">
        <f>"l林贝贝"</f>
        <v>l林贝贝</v>
      </c>
      <c r="F1814" s="7" t="str">
        <f t="shared" si="436"/>
        <v>女</v>
      </c>
      <c r="G1814" s="7" t="s">
        <v>1581</v>
      </c>
      <c r="H1814" s="8"/>
    </row>
    <row r="1815" ht="25" customHeight="1" spans="1:8">
      <c r="A1815" s="6">
        <v>1813</v>
      </c>
      <c r="B1815" s="7" t="str">
        <f t="shared" si="427"/>
        <v>103</v>
      </c>
      <c r="C1815" s="7" t="s">
        <v>663</v>
      </c>
      <c r="D1815" s="7" t="s">
        <v>664</v>
      </c>
      <c r="E1815" s="7" t="str">
        <f>"陈超"</f>
        <v>陈超</v>
      </c>
      <c r="F1815" s="7" t="str">
        <f t="shared" si="436"/>
        <v>女</v>
      </c>
      <c r="G1815" s="7" t="s">
        <v>586</v>
      </c>
      <c r="H1815" s="8"/>
    </row>
    <row r="1816" ht="25" customHeight="1" spans="1:8">
      <c r="A1816" s="6">
        <v>1814</v>
      </c>
      <c r="B1816" s="7" t="str">
        <f t="shared" si="427"/>
        <v>103</v>
      </c>
      <c r="C1816" s="7" t="s">
        <v>663</v>
      </c>
      <c r="D1816" s="7" t="s">
        <v>664</v>
      </c>
      <c r="E1816" s="7" t="str">
        <f>"冯学武"</f>
        <v>冯学武</v>
      </c>
      <c r="F1816" s="7" t="str">
        <f t="shared" ref="F1816:F1820" si="437">"男"</f>
        <v>男</v>
      </c>
      <c r="G1816" s="7" t="s">
        <v>598</v>
      </c>
      <c r="H1816" s="8"/>
    </row>
    <row r="1817" ht="25" customHeight="1" spans="1:8">
      <c r="A1817" s="6">
        <v>1815</v>
      </c>
      <c r="B1817" s="7" t="str">
        <f t="shared" si="427"/>
        <v>103</v>
      </c>
      <c r="C1817" s="7" t="s">
        <v>663</v>
      </c>
      <c r="D1817" s="7" t="s">
        <v>664</v>
      </c>
      <c r="E1817" s="7" t="str">
        <f>"王婷婷"</f>
        <v>王婷婷</v>
      </c>
      <c r="F1817" s="7" t="str">
        <f t="shared" ref="F1817:F1821" si="438">"女"</f>
        <v>女</v>
      </c>
      <c r="G1817" s="7" t="s">
        <v>1582</v>
      </c>
      <c r="H1817" s="8"/>
    </row>
    <row r="1818" ht="25" customHeight="1" spans="1:8">
      <c r="A1818" s="6">
        <v>1816</v>
      </c>
      <c r="B1818" s="7" t="str">
        <f t="shared" si="427"/>
        <v>103</v>
      </c>
      <c r="C1818" s="7" t="s">
        <v>663</v>
      </c>
      <c r="D1818" s="7" t="s">
        <v>664</v>
      </c>
      <c r="E1818" s="7" t="str">
        <f>"杨康康"</f>
        <v>杨康康</v>
      </c>
      <c r="F1818" s="7" t="str">
        <f t="shared" si="437"/>
        <v>男</v>
      </c>
      <c r="G1818" s="7" t="s">
        <v>543</v>
      </c>
      <c r="H1818" s="8"/>
    </row>
    <row r="1819" ht="25" customHeight="1" spans="1:8">
      <c r="A1819" s="6">
        <v>1817</v>
      </c>
      <c r="B1819" s="7" t="str">
        <f t="shared" si="427"/>
        <v>103</v>
      </c>
      <c r="C1819" s="7" t="s">
        <v>663</v>
      </c>
      <c r="D1819" s="7" t="s">
        <v>664</v>
      </c>
      <c r="E1819" s="7" t="str">
        <f>"唐诗华"</f>
        <v>唐诗华</v>
      </c>
      <c r="F1819" s="7" t="str">
        <f t="shared" si="438"/>
        <v>女</v>
      </c>
      <c r="G1819" s="7" t="s">
        <v>1583</v>
      </c>
      <c r="H1819" s="8"/>
    </row>
    <row r="1820" ht="25" customHeight="1" spans="1:8">
      <c r="A1820" s="6">
        <v>1818</v>
      </c>
      <c r="B1820" s="7" t="str">
        <f t="shared" si="427"/>
        <v>103</v>
      </c>
      <c r="C1820" s="7" t="s">
        <v>663</v>
      </c>
      <c r="D1820" s="7" t="s">
        <v>664</v>
      </c>
      <c r="E1820" s="7" t="str">
        <f>"黎俊杉"</f>
        <v>黎俊杉</v>
      </c>
      <c r="F1820" s="7" t="str">
        <f t="shared" si="437"/>
        <v>男</v>
      </c>
      <c r="G1820" s="7" t="s">
        <v>1388</v>
      </c>
      <c r="H1820" s="8"/>
    </row>
    <row r="1821" ht="25" customHeight="1" spans="1:8">
      <c r="A1821" s="6">
        <v>1819</v>
      </c>
      <c r="B1821" s="7" t="str">
        <f t="shared" si="427"/>
        <v>103</v>
      </c>
      <c r="C1821" s="7" t="s">
        <v>663</v>
      </c>
      <c r="D1821" s="7" t="s">
        <v>664</v>
      </c>
      <c r="E1821" s="7" t="str">
        <f>"董敏"</f>
        <v>董敏</v>
      </c>
      <c r="F1821" s="7" t="str">
        <f t="shared" si="438"/>
        <v>女</v>
      </c>
      <c r="G1821" s="7" t="s">
        <v>1584</v>
      </c>
      <c r="H1821" s="8"/>
    </row>
    <row r="1822" ht="25" customHeight="1" spans="1:8">
      <c r="A1822" s="6">
        <v>1820</v>
      </c>
      <c r="B1822" s="7" t="str">
        <f t="shared" si="427"/>
        <v>103</v>
      </c>
      <c r="C1822" s="7" t="s">
        <v>663</v>
      </c>
      <c r="D1822" s="7" t="s">
        <v>664</v>
      </c>
      <c r="E1822" s="7" t="str">
        <f>"黎凯程"</f>
        <v>黎凯程</v>
      </c>
      <c r="F1822" s="7" t="str">
        <f t="shared" ref="F1822:F1824" si="439">"男"</f>
        <v>男</v>
      </c>
      <c r="G1822" s="7" t="s">
        <v>1585</v>
      </c>
      <c r="H1822" s="8"/>
    </row>
    <row r="1823" ht="25" customHeight="1" spans="1:8">
      <c r="A1823" s="6">
        <v>1821</v>
      </c>
      <c r="B1823" s="7" t="str">
        <f t="shared" si="427"/>
        <v>103</v>
      </c>
      <c r="C1823" s="7" t="s">
        <v>663</v>
      </c>
      <c r="D1823" s="7" t="s">
        <v>664</v>
      </c>
      <c r="E1823" s="7" t="str">
        <f>"杨克锦"</f>
        <v>杨克锦</v>
      </c>
      <c r="F1823" s="7" t="str">
        <f t="shared" si="439"/>
        <v>男</v>
      </c>
      <c r="G1823" s="7" t="s">
        <v>1586</v>
      </c>
      <c r="H1823" s="8"/>
    </row>
    <row r="1824" ht="25" customHeight="1" spans="1:8">
      <c r="A1824" s="6">
        <v>1822</v>
      </c>
      <c r="B1824" s="7" t="str">
        <f t="shared" si="427"/>
        <v>103</v>
      </c>
      <c r="C1824" s="7" t="s">
        <v>663</v>
      </c>
      <c r="D1824" s="7" t="s">
        <v>664</v>
      </c>
      <c r="E1824" s="7" t="str">
        <f>"李伯炳"</f>
        <v>李伯炳</v>
      </c>
      <c r="F1824" s="7" t="str">
        <f t="shared" si="439"/>
        <v>男</v>
      </c>
      <c r="G1824" s="7" t="s">
        <v>811</v>
      </c>
      <c r="H1824" s="8"/>
    </row>
    <row r="1825" ht="25" customHeight="1" spans="1:8">
      <c r="A1825" s="6">
        <v>1823</v>
      </c>
      <c r="B1825" s="7" t="str">
        <f t="shared" si="427"/>
        <v>103</v>
      </c>
      <c r="C1825" s="7" t="s">
        <v>663</v>
      </c>
      <c r="D1825" s="7" t="s">
        <v>664</v>
      </c>
      <c r="E1825" s="7" t="str">
        <f>"周淑雅"</f>
        <v>周淑雅</v>
      </c>
      <c r="F1825" s="7" t="str">
        <f t="shared" ref="F1825:F1829" si="440">"女"</f>
        <v>女</v>
      </c>
      <c r="G1825" s="7" t="s">
        <v>1587</v>
      </c>
      <c r="H1825" s="8"/>
    </row>
    <row r="1826" ht="25" customHeight="1" spans="1:8">
      <c r="A1826" s="6">
        <v>1824</v>
      </c>
      <c r="B1826" s="7" t="str">
        <f t="shared" si="427"/>
        <v>103</v>
      </c>
      <c r="C1826" s="7" t="s">
        <v>663</v>
      </c>
      <c r="D1826" s="7" t="s">
        <v>664</v>
      </c>
      <c r="E1826" s="7" t="str">
        <f>"黄雨新"</f>
        <v>黄雨新</v>
      </c>
      <c r="F1826" s="7" t="str">
        <f t="shared" si="440"/>
        <v>女</v>
      </c>
      <c r="G1826" s="7" t="s">
        <v>1588</v>
      </c>
      <c r="H1826" s="8"/>
    </row>
    <row r="1827" ht="25" customHeight="1" spans="1:8">
      <c r="A1827" s="6">
        <v>1825</v>
      </c>
      <c r="B1827" s="7" t="str">
        <f t="shared" si="427"/>
        <v>103</v>
      </c>
      <c r="C1827" s="7" t="s">
        <v>663</v>
      </c>
      <c r="D1827" s="7" t="s">
        <v>664</v>
      </c>
      <c r="E1827" s="7" t="str">
        <f>"王丹妮"</f>
        <v>王丹妮</v>
      </c>
      <c r="F1827" s="7" t="str">
        <f t="shared" si="440"/>
        <v>女</v>
      </c>
      <c r="G1827" s="7" t="s">
        <v>1589</v>
      </c>
      <c r="H1827" s="8"/>
    </row>
    <row r="1828" ht="25" customHeight="1" spans="1:8">
      <c r="A1828" s="6">
        <v>1826</v>
      </c>
      <c r="B1828" s="7" t="str">
        <f t="shared" si="427"/>
        <v>103</v>
      </c>
      <c r="C1828" s="7" t="s">
        <v>663</v>
      </c>
      <c r="D1828" s="7" t="s">
        <v>664</v>
      </c>
      <c r="E1828" s="7" t="str">
        <f>"江霞"</f>
        <v>江霞</v>
      </c>
      <c r="F1828" s="7" t="str">
        <f t="shared" si="440"/>
        <v>女</v>
      </c>
      <c r="G1828" s="7" t="s">
        <v>1590</v>
      </c>
      <c r="H1828" s="8"/>
    </row>
    <row r="1829" ht="25" customHeight="1" spans="1:8">
      <c r="A1829" s="6">
        <v>1827</v>
      </c>
      <c r="B1829" s="7" t="str">
        <f t="shared" si="427"/>
        <v>103</v>
      </c>
      <c r="C1829" s="7" t="s">
        <v>663</v>
      </c>
      <c r="D1829" s="7" t="s">
        <v>664</v>
      </c>
      <c r="E1829" s="7" t="str">
        <f>"陈婷"</f>
        <v>陈婷</v>
      </c>
      <c r="F1829" s="7" t="str">
        <f t="shared" si="440"/>
        <v>女</v>
      </c>
      <c r="G1829" s="7" t="s">
        <v>60</v>
      </c>
      <c r="H1829" s="8"/>
    </row>
    <row r="1830" ht="25" customHeight="1" spans="1:8">
      <c r="A1830" s="6">
        <v>1828</v>
      </c>
      <c r="B1830" s="7" t="str">
        <f t="shared" si="427"/>
        <v>103</v>
      </c>
      <c r="C1830" s="7" t="s">
        <v>663</v>
      </c>
      <c r="D1830" s="7" t="s">
        <v>664</v>
      </c>
      <c r="E1830" s="7" t="str">
        <f>"柯维技"</f>
        <v>柯维技</v>
      </c>
      <c r="F1830" s="7" t="str">
        <f>"男"</f>
        <v>男</v>
      </c>
      <c r="G1830" s="7" t="s">
        <v>1591</v>
      </c>
      <c r="H1830" s="8"/>
    </row>
    <row r="1831" ht="25" customHeight="1" spans="1:8">
      <c r="A1831" s="6">
        <v>1829</v>
      </c>
      <c r="B1831" s="7" t="str">
        <f t="shared" si="427"/>
        <v>103</v>
      </c>
      <c r="C1831" s="7" t="s">
        <v>663</v>
      </c>
      <c r="D1831" s="7" t="s">
        <v>664</v>
      </c>
      <c r="E1831" s="7" t="str">
        <f>"刘禹彤"</f>
        <v>刘禹彤</v>
      </c>
      <c r="F1831" s="7" t="str">
        <f t="shared" ref="F1831:F1835" si="441">"女"</f>
        <v>女</v>
      </c>
      <c r="G1831" s="7" t="s">
        <v>1592</v>
      </c>
      <c r="H1831" s="8"/>
    </row>
    <row r="1832" ht="25" customHeight="1" spans="1:8">
      <c r="A1832" s="6">
        <v>1830</v>
      </c>
      <c r="B1832" s="7" t="str">
        <f t="shared" ref="B1832:B1895" si="442">"103"</f>
        <v>103</v>
      </c>
      <c r="C1832" s="7" t="s">
        <v>663</v>
      </c>
      <c r="D1832" s="7" t="s">
        <v>664</v>
      </c>
      <c r="E1832" s="7" t="str">
        <f>"张可"</f>
        <v>张可</v>
      </c>
      <c r="F1832" s="7" t="str">
        <f>"男"</f>
        <v>男</v>
      </c>
      <c r="G1832" s="7" t="s">
        <v>1593</v>
      </c>
      <c r="H1832" s="8"/>
    </row>
    <row r="1833" ht="25" customHeight="1" spans="1:8">
      <c r="A1833" s="6">
        <v>1831</v>
      </c>
      <c r="B1833" s="7" t="str">
        <f t="shared" si="442"/>
        <v>103</v>
      </c>
      <c r="C1833" s="7" t="s">
        <v>663</v>
      </c>
      <c r="D1833" s="7" t="s">
        <v>664</v>
      </c>
      <c r="E1833" s="7" t="str">
        <f>"陈思思"</f>
        <v>陈思思</v>
      </c>
      <c r="F1833" s="7" t="str">
        <f t="shared" si="441"/>
        <v>女</v>
      </c>
      <c r="G1833" s="7" t="s">
        <v>1594</v>
      </c>
      <c r="H1833" s="8"/>
    </row>
    <row r="1834" ht="25" customHeight="1" spans="1:8">
      <c r="A1834" s="6">
        <v>1832</v>
      </c>
      <c r="B1834" s="7" t="str">
        <f t="shared" si="442"/>
        <v>103</v>
      </c>
      <c r="C1834" s="7" t="s">
        <v>663</v>
      </c>
      <c r="D1834" s="7" t="s">
        <v>664</v>
      </c>
      <c r="E1834" s="7" t="str">
        <f>"刘芸菲"</f>
        <v>刘芸菲</v>
      </c>
      <c r="F1834" s="7" t="str">
        <f t="shared" si="441"/>
        <v>女</v>
      </c>
      <c r="G1834" s="7" t="s">
        <v>1595</v>
      </c>
      <c r="H1834" s="8"/>
    </row>
    <row r="1835" ht="25" customHeight="1" spans="1:8">
      <c r="A1835" s="6">
        <v>1833</v>
      </c>
      <c r="B1835" s="7" t="str">
        <f t="shared" si="442"/>
        <v>103</v>
      </c>
      <c r="C1835" s="7" t="s">
        <v>663</v>
      </c>
      <c r="D1835" s="7" t="s">
        <v>664</v>
      </c>
      <c r="E1835" s="7" t="str">
        <f>"周智薇"</f>
        <v>周智薇</v>
      </c>
      <c r="F1835" s="7" t="str">
        <f t="shared" si="441"/>
        <v>女</v>
      </c>
      <c r="G1835" s="7" t="s">
        <v>1596</v>
      </c>
      <c r="H1835" s="8"/>
    </row>
    <row r="1836" ht="25" customHeight="1" spans="1:8">
      <c r="A1836" s="6">
        <v>1834</v>
      </c>
      <c r="B1836" s="7" t="str">
        <f t="shared" si="442"/>
        <v>103</v>
      </c>
      <c r="C1836" s="7" t="s">
        <v>663</v>
      </c>
      <c r="D1836" s="7" t="s">
        <v>664</v>
      </c>
      <c r="E1836" s="7" t="str">
        <f>"王鹏"</f>
        <v>王鹏</v>
      </c>
      <c r="F1836" s="7" t="str">
        <f t="shared" ref="F1836:F1839" si="443">"男"</f>
        <v>男</v>
      </c>
      <c r="G1836" s="7" t="s">
        <v>1597</v>
      </c>
      <c r="H1836" s="8"/>
    </row>
    <row r="1837" ht="25" customHeight="1" spans="1:8">
      <c r="A1837" s="6">
        <v>1835</v>
      </c>
      <c r="B1837" s="7" t="str">
        <f t="shared" si="442"/>
        <v>103</v>
      </c>
      <c r="C1837" s="7" t="s">
        <v>663</v>
      </c>
      <c r="D1837" s="7" t="s">
        <v>664</v>
      </c>
      <c r="E1837" s="7" t="str">
        <f>"周海玲"</f>
        <v>周海玲</v>
      </c>
      <c r="F1837" s="7" t="str">
        <f t="shared" ref="F1837:F1841" si="444">"女"</f>
        <v>女</v>
      </c>
      <c r="G1837" s="7" t="s">
        <v>1598</v>
      </c>
      <c r="H1837" s="8"/>
    </row>
    <row r="1838" ht="25" customHeight="1" spans="1:8">
      <c r="A1838" s="6">
        <v>1836</v>
      </c>
      <c r="B1838" s="7" t="str">
        <f t="shared" si="442"/>
        <v>103</v>
      </c>
      <c r="C1838" s="7" t="s">
        <v>663</v>
      </c>
      <c r="D1838" s="7" t="s">
        <v>664</v>
      </c>
      <c r="E1838" s="7" t="str">
        <f>"麦正扬"</f>
        <v>麦正扬</v>
      </c>
      <c r="F1838" s="7" t="str">
        <f t="shared" si="443"/>
        <v>男</v>
      </c>
      <c r="G1838" s="7" t="s">
        <v>1599</v>
      </c>
      <c r="H1838" s="8"/>
    </row>
    <row r="1839" ht="25" customHeight="1" spans="1:8">
      <c r="A1839" s="6">
        <v>1837</v>
      </c>
      <c r="B1839" s="7" t="str">
        <f t="shared" si="442"/>
        <v>103</v>
      </c>
      <c r="C1839" s="7" t="s">
        <v>663</v>
      </c>
      <c r="D1839" s="7" t="s">
        <v>664</v>
      </c>
      <c r="E1839" s="7" t="str">
        <f>"洪健矩"</f>
        <v>洪健矩</v>
      </c>
      <c r="F1839" s="7" t="str">
        <f t="shared" si="443"/>
        <v>男</v>
      </c>
      <c r="G1839" s="7" t="s">
        <v>1600</v>
      </c>
      <c r="H1839" s="8"/>
    </row>
    <row r="1840" ht="25" customHeight="1" spans="1:8">
      <c r="A1840" s="6">
        <v>1838</v>
      </c>
      <c r="B1840" s="7" t="str">
        <f t="shared" si="442"/>
        <v>103</v>
      </c>
      <c r="C1840" s="7" t="s">
        <v>663</v>
      </c>
      <c r="D1840" s="7" t="s">
        <v>664</v>
      </c>
      <c r="E1840" s="7" t="str">
        <f>"王东雯"</f>
        <v>王东雯</v>
      </c>
      <c r="F1840" s="7" t="str">
        <f t="shared" si="444"/>
        <v>女</v>
      </c>
      <c r="G1840" s="7" t="s">
        <v>1601</v>
      </c>
      <c r="H1840" s="8"/>
    </row>
    <row r="1841" ht="25" customHeight="1" spans="1:8">
      <c r="A1841" s="6">
        <v>1839</v>
      </c>
      <c r="B1841" s="7" t="str">
        <f t="shared" si="442"/>
        <v>103</v>
      </c>
      <c r="C1841" s="7" t="s">
        <v>663</v>
      </c>
      <c r="D1841" s="7" t="s">
        <v>664</v>
      </c>
      <c r="E1841" s="7" t="str">
        <f>"郭纯"</f>
        <v>郭纯</v>
      </c>
      <c r="F1841" s="7" t="str">
        <f t="shared" si="444"/>
        <v>女</v>
      </c>
      <c r="G1841" s="7" t="s">
        <v>1602</v>
      </c>
      <c r="H1841" s="8"/>
    </row>
    <row r="1842" ht="25" customHeight="1" spans="1:8">
      <c r="A1842" s="6">
        <v>1840</v>
      </c>
      <c r="B1842" s="7" t="str">
        <f t="shared" si="442"/>
        <v>103</v>
      </c>
      <c r="C1842" s="7" t="s">
        <v>663</v>
      </c>
      <c r="D1842" s="7" t="s">
        <v>664</v>
      </c>
      <c r="E1842" s="7" t="str">
        <f>"徐维龙"</f>
        <v>徐维龙</v>
      </c>
      <c r="F1842" s="7" t="str">
        <f t="shared" ref="F1842:F1846" si="445">"男"</f>
        <v>男</v>
      </c>
      <c r="G1842" s="7" t="s">
        <v>1603</v>
      </c>
      <c r="H1842" s="8"/>
    </row>
    <row r="1843" ht="25" customHeight="1" spans="1:8">
      <c r="A1843" s="6">
        <v>1841</v>
      </c>
      <c r="B1843" s="7" t="str">
        <f t="shared" si="442"/>
        <v>103</v>
      </c>
      <c r="C1843" s="7" t="s">
        <v>663</v>
      </c>
      <c r="D1843" s="7" t="s">
        <v>664</v>
      </c>
      <c r="E1843" s="7" t="str">
        <f>"苏敏"</f>
        <v>苏敏</v>
      </c>
      <c r="F1843" s="7" t="str">
        <f t="shared" ref="F1843:F1851" si="446">"女"</f>
        <v>女</v>
      </c>
      <c r="G1843" s="7" t="s">
        <v>1604</v>
      </c>
      <c r="H1843" s="8"/>
    </row>
    <row r="1844" ht="25" customHeight="1" spans="1:8">
      <c r="A1844" s="6">
        <v>1842</v>
      </c>
      <c r="B1844" s="7" t="str">
        <f t="shared" si="442"/>
        <v>103</v>
      </c>
      <c r="C1844" s="7" t="s">
        <v>663</v>
      </c>
      <c r="D1844" s="7" t="s">
        <v>664</v>
      </c>
      <c r="E1844" s="7" t="str">
        <f>"文棋"</f>
        <v>文棋</v>
      </c>
      <c r="F1844" s="7" t="str">
        <f t="shared" si="445"/>
        <v>男</v>
      </c>
      <c r="G1844" s="7" t="s">
        <v>1605</v>
      </c>
      <c r="H1844" s="8"/>
    </row>
    <row r="1845" ht="25" customHeight="1" spans="1:8">
      <c r="A1845" s="6">
        <v>1843</v>
      </c>
      <c r="B1845" s="7" t="str">
        <f t="shared" si="442"/>
        <v>103</v>
      </c>
      <c r="C1845" s="7" t="s">
        <v>663</v>
      </c>
      <c r="D1845" s="7" t="s">
        <v>664</v>
      </c>
      <c r="E1845" s="7" t="str">
        <f>"汤羽磊"</f>
        <v>汤羽磊</v>
      </c>
      <c r="F1845" s="7" t="str">
        <f t="shared" si="445"/>
        <v>男</v>
      </c>
      <c r="G1845" s="7" t="s">
        <v>1606</v>
      </c>
      <c r="H1845" s="8"/>
    </row>
    <row r="1846" ht="25" customHeight="1" spans="1:8">
      <c r="A1846" s="6">
        <v>1844</v>
      </c>
      <c r="B1846" s="7" t="str">
        <f t="shared" si="442"/>
        <v>103</v>
      </c>
      <c r="C1846" s="7" t="s">
        <v>663</v>
      </c>
      <c r="D1846" s="7" t="s">
        <v>664</v>
      </c>
      <c r="E1846" s="7" t="str">
        <f>"李宏汉"</f>
        <v>李宏汉</v>
      </c>
      <c r="F1846" s="7" t="str">
        <f t="shared" si="445"/>
        <v>男</v>
      </c>
      <c r="G1846" s="7" t="s">
        <v>1226</v>
      </c>
      <c r="H1846" s="8"/>
    </row>
    <row r="1847" ht="25" customHeight="1" spans="1:8">
      <c r="A1847" s="6">
        <v>1845</v>
      </c>
      <c r="B1847" s="7" t="str">
        <f t="shared" si="442"/>
        <v>103</v>
      </c>
      <c r="C1847" s="7" t="s">
        <v>663</v>
      </c>
      <c r="D1847" s="7" t="s">
        <v>664</v>
      </c>
      <c r="E1847" s="7" t="str">
        <f>"陈良妹"</f>
        <v>陈良妹</v>
      </c>
      <c r="F1847" s="7" t="str">
        <f t="shared" si="446"/>
        <v>女</v>
      </c>
      <c r="G1847" s="7" t="s">
        <v>1607</v>
      </c>
      <c r="H1847" s="8"/>
    </row>
    <row r="1848" ht="25" customHeight="1" spans="1:8">
      <c r="A1848" s="6">
        <v>1846</v>
      </c>
      <c r="B1848" s="7" t="str">
        <f t="shared" si="442"/>
        <v>103</v>
      </c>
      <c r="C1848" s="7" t="s">
        <v>663</v>
      </c>
      <c r="D1848" s="7" t="s">
        <v>664</v>
      </c>
      <c r="E1848" s="7" t="str">
        <f>"谢轩芸"</f>
        <v>谢轩芸</v>
      </c>
      <c r="F1848" s="7" t="str">
        <f t="shared" si="446"/>
        <v>女</v>
      </c>
      <c r="G1848" s="7" t="s">
        <v>798</v>
      </c>
      <c r="H1848" s="8"/>
    </row>
    <row r="1849" ht="25" customHeight="1" spans="1:8">
      <c r="A1849" s="6">
        <v>1847</v>
      </c>
      <c r="B1849" s="7" t="str">
        <f t="shared" si="442"/>
        <v>103</v>
      </c>
      <c r="C1849" s="7" t="s">
        <v>663</v>
      </c>
      <c r="D1849" s="7" t="s">
        <v>664</v>
      </c>
      <c r="E1849" s="7" t="str">
        <f>"林李真"</f>
        <v>林李真</v>
      </c>
      <c r="F1849" s="7" t="str">
        <f t="shared" si="446"/>
        <v>女</v>
      </c>
      <c r="G1849" s="7" t="s">
        <v>1608</v>
      </c>
      <c r="H1849" s="8"/>
    </row>
    <row r="1850" ht="25" customHeight="1" spans="1:8">
      <c r="A1850" s="6">
        <v>1848</v>
      </c>
      <c r="B1850" s="7" t="str">
        <f t="shared" si="442"/>
        <v>103</v>
      </c>
      <c r="C1850" s="7" t="s">
        <v>663</v>
      </c>
      <c r="D1850" s="7" t="s">
        <v>664</v>
      </c>
      <c r="E1850" s="7" t="str">
        <f>"冼小琳"</f>
        <v>冼小琳</v>
      </c>
      <c r="F1850" s="7" t="str">
        <f t="shared" si="446"/>
        <v>女</v>
      </c>
      <c r="G1850" s="7" t="s">
        <v>1609</v>
      </c>
      <c r="H1850" s="8"/>
    </row>
    <row r="1851" ht="25" customHeight="1" spans="1:8">
      <c r="A1851" s="6">
        <v>1849</v>
      </c>
      <c r="B1851" s="7" t="str">
        <f t="shared" si="442"/>
        <v>103</v>
      </c>
      <c r="C1851" s="7" t="s">
        <v>663</v>
      </c>
      <c r="D1851" s="7" t="s">
        <v>664</v>
      </c>
      <c r="E1851" s="7" t="str">
        <f>"王时婷"</f>
        <v>王时婷</v>
      </c>
      <c r="F1851" s="7" t="str">
        <f t="shared" si="446"/>
        <v>女</v>
      </c>
      <c r="G1851" s="7" t="s">
        <v>1610</v>
      </c>
      <c r="H1851" s="8"/>
    </row>
    <row r="1852" ht="25" customHeight="1" spans="1:8">
      <c r="A1852" s="6">
        <v>1850</v>
      </c>
      <c r="B1852" s="7" t="str">
        <f t="shared" si="442"/>
        <v>103</v>
      </c>
      <c r="C1852" s="7" t="s">
        <v>663</v>
      </c>
      <c r="D1852" s="7" t="s">
        <v>664</v>
      </c>
      <c r="E1852" s="7" t="str">
        <f>"郭禄彬"</f>
        <v>郭禄彬</v>
      </c>
      <c r="F1852" s="7" t="str">
        <f>"男"</f>
        <v>男</v>
      </c>
      <c r="G1852" s="7" t="s">
        <v>1032</v>
      </c>
      <c r="H1852" s="8"/>
    </row>
    <row r="1853" ht="25" customHeight="1" spans="1:8">
      <c r="A1853" s="6">
        <v>1851</v>
      </c>
      <c r="B1853" s="7" t="str">
        <f t="shared" si="442"/>
        <v>103</v>
      </c>
      <c r="C1853" s="7" t="s">
        <v>663</v>
      </c>
      <c r="D1853" s="7" t="s">
        <v>664</v>
      </c>
      <c r="E1853" s="7" t="str">
        <f>"韩雨薇"</f>
        <v>韩雨薇</v>
      </c>
      <c r="F1853" s="7" t="str">
        <f t="shared" ref="F1853:F1856" si="447">"女"</f>
        <v>女</v>
      </c>
      <c r="G1853" s="7" t="s">
        <v>1611</v>
      </c>
      <c r="H1853" s="8"/>
    </row>
    <row r="1854" ht="25" customHeight="1" spans="1:8">
      <c r="A1854" s="6">
        <v>1852</v>
      </c>
      <c r="B1854" s="7" t="str">
        <f t="shared" si="442"/>
        <v>103</v>
      </c>
      <c r="C1854" s="7" t="s">
        <v>663</v>
      </c>
      <c r="D1854" s="7" t="s">
        <v>664</v>
      </c>
      <c r="E1854" s="7" t="str">
        <f>"梁星烂"</f>
        <v>梁星烂</v>
      </c>
      <c r="F1854" s="7" t="str">
        <f t="shared" si="447"/>
        <v>女</v>
      </c>
      <c r="G1854" s="7" t="s">
        <v>1612</v>
      </c>
      <c r="H1854" s="8"/>
    </row>
    <row r="1855" ht="25" customHeight="1" spans="1:8">
      <c r="A1855" s="6">
        <v>1853</v>
      </c>
      <c r="B1855" s="7" t="str">
        <f t="shared" si="442"/>
        <v>103</v>
      </c>
      <c r="C1855" s="7" t="s">
        <v>663</v>
      </c>
      <c r="D1855" s="7" t="s">
        <v>664</v>
      </c>
      <c r="E1855" s="7" t="str">
        <f>"陈明君"</f>
        <v>陈明君</v>
      </c>
      <c r="F1855" s="7" t="str">
        <f t="shared" si="447"/>
        <v>女</v>
      </c>
      <c r="G1855" s="7" t="s">
        <v>1613</v>
      </c>
      <c r="H1855" s="8"/>
    </row>
    <row r="1856" ht="25" customHeight="1" spans="1:8">
      <c r="A1856" s="6">
        <v>1854</v>
      </c>
      <c r="B1856" s="7" t="str">
        <f t="shared" si="442"/>
        <v>103</v>
      </c>
      <c r="C1856" s="7" t="s">
        <v>663</v>
      </c>
      <c r="D1856" s="7" t="s">
        <v>664</v>
      </c>
      <c r="E1856" s="7" t="str">
        <f>"张艺姝"</f>
        <v>张艺姝</v>
      </c>
      <c r="F1856" s="7" t="str">
        <f t="shared" si="447"/>
        <v>女</v>
      </c>
      <c r="G1856" s="7" t="s">
        <v>1614</v>
      </c>
      <c r="H1856" s="8"/>
    </row>
    <row r="1857" ht="25" customHeight="1" spans="1:8">
      <c r="A1857" s="6">
        <v>1855</v>
      </c>
      <c r="B1857" s="7" t="str">
        <f t="shared" si="442"/>
        <v>103</v>
      </c>
      <c r="C1857" s="7" t="s">
        <v>663</v>
      </c>
      <c r="D1857" s="7" t="s">
        <v>664</v>
      </c>
      <c r="E1857" s="7" t="str">
        <f>"张额尔德木图"</f>
        <v>张额尔德木图</v>
      </c>
      <c r="F1857" s="7" t="str">
        <f>"男"</f>
        <v>男</v>
      </c>
      <c r="G1857" s="7" t="s">
        <v>1615</v>
      </c>
      <c r="H1857" s="8"/>
    </row>
    <row r="1858" ht="25" customHeight="1" spans="1:8">
      <c r="A1858" s="6">
        <v>1856</v>
      </c>
      <c r="B1858" s="7" t="str">
        <f t="shared" si="442"/>
        <v>103</v>
      </c>
      <c r="C1858" s="7" t="s">
        <v>663</v>
      </c>
      <c r="D1858" s="7" t="s">
        <v>664</v>
      </c>
      <c r="E1858" s="7" t="str">
        <f>"姚嘉诺"</f>
        <v>姚嘉诺</v>
      </c>
      <c r="F1858" s="7" t="str">
        <f t="shared" ref="F1858:F1864" si="448">"女"</f>
        <v>女</v>
      </c>
      <c r="G1858" s="7" t="s">
        <v>1616</v>
      </c>
      <c r="H1858" s="8"/>
    </row>
    <row r="1859" ht="25" customHeight="1" spans="1:8">
      <c r="A1859" s="6">
        <v>1857</v>
      </c>
      <c r="B1859" s="7" t="str">
        <f t="shared" si="442"/>
        <v>103</v>
      </c>
      <c r="C1859" s="7" t="s">
        <v>663</v>
      </c>
      <c r="D1859" s="7" t="s">
        <v>664</v>
      </c>
      <c r="E1859" s="7" t="str">
        <f>"赵青婧"</f>
        <v>赵青婧</v>
      </c>
      <c r="F1859" s="7" t="str">
        <f t="shared" si="448"/>
        <v>女</v>
      </c>
      <c r="G1859" s="7" t="s">
        <v>1617</v>
      </c>
      <c r="H1859" s="8"/>
    </row>
    <row r="1860" ht="25" customHeight="1" spans="1:8">
      <c r="A1860" s="6">
        <v>1858</v>
      </c>
      <c r="B1860" s="7" t="str">
        <f t="shared" si="442"/>
        <v>103</v>
      </c>
      <c r="C1860" s="7" t="s">
        <v>663</v>
      </c>
      <c r="D1860" s="7" t="s">
        <v>664</v>
      </c>
      <c r="E1860" s="7" t="str">
        <f>"黄炫"</f>
        <v>黄炫</v>
      </c>
      <c r="F1860" s="7" t="str">
        <f>"男"</f>
        <v>男</v>
      </c>
      <c r="G1860" s="7" t="s">
        <v>1618</v>
      </c>
      <c r="H1860" s="8"/>
    </row>
    <row r="1861" ht="25" customHeight="1" spans="1:8">
      <c r="A1861" s="6">
        <v>1859</v>
      </c>
      <c r="B1861" s="7" t="str">
        <f t="shared" si="442"/>
        <v>103</v>
      </c>
      <c r="C1861" s="7" t="s">
        <v>663</v>
      </c>
      <c r="D1861" s="7" t="s">
        <v>664</v>
      </c>
      <c r="E1861" s="7" t="str">
        <f>"王春雨"</f>
        <v>王春雨</v>
      </c>
      <c r="F1861" s="7" t="str">
        <f t="shared" si="448"/>
        <v>女</v>
      </c>
      <c r="G1861" s="7" t="s">
        <v>1085</v>
      </c>
      <c r="H1861" s="8"/>
    </row>
    <row r="1862" ht="25" customHeight="1" spans="1:8">
      <c r="A1862" s="6">
        <v>1860</v>
      </c>
      <c r="B1862" s="7" t="str">
        <f t="shared" si="442"/>
        <v>103</v>
      </c>
      <c r="C1862" s="7" t="s">
        <v>663</v>
      </c>
      <c r="D1862" s="7" t="s">
        <v>664</v>
      </c>
      <c r="E1862" s="7" t="str">
        <f>"严华丹"</f>
        <v>严华丹</v>
      </c>
      <c r="F1862" s="7" t="str">
        <f t="shared" si="448"/>
        <v>女</v>
      </c>
      <c r="G1862" s="7" t="s">
        <v>1619</v>
      </c>
      <c r="H1862" s="8"/>
    </row>
    <row r="1863" ht="25" customHeight="1" spans="1:8">
      <c r="A1863" s="6">
        <v>1861</v>
      </c>
      <c r="B1863" s="7" t="str">
        <f t="shared" si="442"/>
        <v>103</v>
      </c>
      <c r="C1863" s="7" t="s">
        <v>663</v>
      </c>
      <c r="D1863" s="7" t="s">
        <v>664</v>
      </c>
      <c r="E1863" s="7" t="str">
        <f>"吴琼丽"</f>
        <v>吴琼丽</v>
      </c>
      <c r="F1863" s="7" t="str">
        <f t="shared" si="448"/>
        <v>女</v>
      </c>
      <c r="G1863" s="7" t="s">
        <v>1620</v>
      </c>
      <c r="H1863" s="8"/>
    </row>
    <row r="1864" ht="25" customHeight="1" spans="1:8">
      <c r="A1864" s="6">
        <v>1862</v>
      </c>
      <c r="B1864" s="7" t="str">
        <f t="shared" si="442"/>
        <v>103</v>
      </c>
      <c r="C1864" s="7" t="s">
        <v>663</v>
      </c>
      <c r="D1864" s="7" t="s">
        <v>664</v>
      </c>
      <c r="E1864" s="7" t="str">
        <f>"苏慧琳"</f>
        <v>苏慧琳</v>
      </c>
      <c r="F1864" s="7" t="str">
        <f t="shared" si="448"/>
        <v>女</v>
      </c>
      <c r="G1864" s="7" t="s">
        <v>308</v>
      </c>
      <c r="H1864" s="8"/>
    </row>
    <row r="1865" ht="25" customHeight="1" spans="1:8">
      <c r="A1865" s="6">
        <v>1863</v>
      </c>
      <c r="B1865" s="7" t="str">
        <f t="shared" si="442"/>
        <v>103</v>
      </c>
      <c r="C1865" s="7" t="s">
        <v>663</v>
      </c>
      <c r="D1865" s="7" t="s">
        <v>664</v>
      </c>
      <c r="E1865" s="7" t="str">
        <f>"吴东武"</f>
        <v>吴东武</v>
      </c>
      <c r="F1865" s="7" t="str">
        <f t="shared" ref="F1865:F1871" si="449">"男"</f>
        <v>男</v>
      </c>
      <c r="G1865" s="7" t="s">
        <v>1621</v>
      </c>
      <c r="H1865" s="8"/>
    </row>
    <row r="1866" ht="25" customHeight="1" spans="1:8">
      <c r="A1866" s="6">
        <v>1864</v>
      </c>
      <c r="B1866" s="7" t="str">
        <f t="shared" si="442"/>
        <v>103</v>
      </c>
      <c r="C1866" s="7" t="s">
        <v>663</v>
      </c>
      <c r="D1866" s="7" t="s">
        <v>664</v>
      </c>
      <c r="E1866" s="7" t="str">
        <f>"柯梅兰"</f>
        <v>柯梅兰</v>
      </c>
      <c r="F1866" s="7" t="str">
        <f t="shared" ref="F1866:F1869" si="450">"女"</f>
        <v>女</v>
      </c>
      <c r="G1866" s="7" t="s">
        <v>684</v>
      </c>
      <c r="H1866" s="8"/>
    </row>
    <row r="1867" ht="25" customHeight="1" spans="1:8">
      <c r="A1867" s="6">
        <v>1865</v>
      </c>
      <c r="B1867" s="7" t="str">
        <f t="shared" si="442"/>
        <v>103</v>
      </c>
      <c r="C1867" s="7" t="s">
        <v>663</v>
      </c>
      <c r="D1867" s="7" t="s">
        <v>664</v>
      </c>
      <c r="E1867" s="7" t="str">
        <f>"杨鑫"</f>
        <v>杨鑫</v>
      </c>
      <c r="F1867" s="7" t="str">
        <f t="shared" si="449"/>
        <v>男</v>
      </c>
      <c r="G1867" s="7" t="s">
        <v>15</v>
      </c>
      <c r="H1867" s="8"/>
    </row>
    <row r="1868" ht="25" customHeight="1" spans="1:8">
      <c r="A1868" s="6">
        <v>1866</v>
      </c>
      <c r="B1868" s="7" t="str">
        <f t="shared" si="442"/>
        <v>103</v>
      </c>
      <c r="C1868" s="7" t="s">
        <v>663</v>
      </c>
      <c r="D1868" s="7" t="s">
        <v>664</v>
      </c>
      <c r="E1868" s="7" t="str">
        <f>"彭雨思"</f>
        <v>彭雨思</v>
      </c>
      <c r="F1868" s="7" t="str">
        <f t="shared" si="450"/>
        <v>女</v>
      </c>
      <c r="G1868" s="7" t="s">
        <v>375</v>
      </c>
      <c r="H1868" s="8"/>
    </row>
    <row r="1869" ht="25" customHeight="1" spans="1:8">
      <c r="A1869" s="6">
        <v>1867</v>
      </c>
      <c r="B1869" s="7" t="str">
        <f t="shared" si="442"/>
        <v>103</v>
      </c>
      <c r="C1869" s="7" t="s">
        <v>663</v>
      </c>
      <c r="D1869" s="7" t="s">
        <v>664</v>
      </c>
      <c r="E1869" s="7" t="str">
        <f>"钟晶晶"</f>
        <v>钟晶晶</v>
      </c>
      <c r="F1869" s="7" t="str">
        <f t="shared" si="450"/>
        <v>女</v>
      </c>
      <c r="G1869" s="7" t="s">
        <v>1622</v>
      </c>
      <c r="H1869" s="8"/>
    </row>
    <row r="1870" ht="25" customHeight="1" spans="1:8">
      <c r="A1870" s="6">
        <v>1868</v>
      </c>
      <c r="B1870" s="7" t="str">
        <f t="shared" si="442"/>
        <v>103</v>
      </c>
      <c r="C1870" s="7" t="s">
        <v>663</v>
      </c>
      <c r="D1870" s="7" t="s">
        <v>664</v>
      </c>
      <c r="E1870" s="7" t="str">
        <f>"王尤乐"</f>
        <v>王尤乐</v>
      </c>
      <c r="F1870" s="7" t="str">
        <f t="shared" si="449"/>
        <v>男</v>
      </c>
      <c r="G1870" s="7" t="s">
        <v>1623</v>
      </c>
      <c r="H1870" s="8"/>
    </row>
    <row r="1871" ht="25" customHeight="1" spans="1:8">
      <c r="A1871" s="6">
        <v>1869</v>
      </c>
      <c r="B1871" s="7" t="str">
        <f t="shared" si="442"/>
        <v>103</v>
      </c>
      <c r="C1871" s="7" t="s">
        <v>663</v>
      </c>
      <c r="D1871" s="7" t="s">
        <v>664</v>
      </c>
      <c r="E1871" s="7" t="str">
        <f>"曾海鑫"</f>
        <v>曾海鑫</v>
      </c>
      <c r="F1871" s="7" t="str">
        <f t="shared" si="449"/>
        <v>男</v>
      </c>
      <c r="G1871" s="7" t="s">
        <v>1458</v>
      </c>
      <c r="H1871" s="8"/>
    </row>
    <row r="1872" ht="25" customHeight="1" spans="1:8">
      <c r="A1872" s="6">
        <v>1870</v>
      </c>
      <c r="B1872" s="7" t="str">
        <f t="shared" si="442"/>
        <v>103</v>
      </c>
      <c r="C1872" s="7" t="s">
        <v>663</v>
      </c>
      <c r="D1872" s="7" t="s">
        <v>664</v>
      </c>
      <c r="E1872" s="7" t="str">
        <f>"罗安祥"</f>
        <v>罗安祥</v>
      </c>
      <c r="F1872" s="7" t="str">
        <f t="shared" ref="F1872:F1884" si="451">"女"</f>
        <v>女</v>
      </c>
      <c r="G1872" s="7" t="s">
        <v>1624</v>
      </c>
      <c r="H1872" s="8"/>
    </row>
    <row r="1873" ht="25" customHeight="1" spans="1:8">
      <c r="A1873" s="6">
        <v>1871</v>
      </c>
      <c r="B1873" s="7" t="str">
        <f t="shared" si="442"/>
        <v>103</v>
      </c>
      <c r="C1873" s="7" t="s">
        <v>663</v>
      </c>
      <c r="D1873" s="7" t="s">
        <v>664</v>
      </c>
      <c r="E1873" s="7" t="str">
        <f>"邢皇荣"</f>
        <v>邢皇荣</v>
      </c>
      <c r="F1873" s="7" t="str">
        <f>"男"</f>
        <v>男</v>
      </c>
      <c r="G1873" s="7" t="s">
        <v>1625</v>
      </c>
      <c r="H1873" s="8"/>
    </row>
    <row r="1874" ht="25" customHeight="1" spans="1:8">
      <c r="A1874" s="6">
        <v>1872</v>
      </c>
      <c r="B1874" s="7" t="str">
        <f t="shared" si="442"/>
        <v>103</v>
      </c>
      <c r="C1874" s="7" t="s">
        <v>663</v>
      </c>
      <c r="D1874" s="7" t="s">
        <v>664</v>
      </c>
      <c r="E1874" s="7" t="str">
        <f>"何兴华"</f>
        <v>何兴华</v>
      </c>
      <c r="F1874" s="7" t="str">
        <f>"男"</f>
        <v>男</v>
      </c>
      <c r="G1874" s="7" t="s">
        <v>1626</v>
      </c>
      <c r="H1874" s="8"/>
    </row>
    <row r="1875" ht="25" customHeight="1" spans="1:8">
      <c r="A1875" s="6">
        <v>1873</v>
      </c>
      <c r="B1875" s="7" t="str">
        <f t="shared" si="442"/>
        <v>103</v>
      </c>
      <c r="C1875" s="7" t="s">
        <v>663</v>
      </c>
      <c r="D1875" s="7" t="s">
        <v>664</v>
      </c>
      <c r="E1875" s="7" t="str">
        <f>"郭泽慧"</f>
        <v>郭泽慧</v>
      </c>
      <c r="F1875" s="7" t="str">
        <f t="shared" si="451"/>
        <v>女</v>
      </c>
      <c r="G1875" s="7" t="s">
        <v>1627</v>
      </c>
      <c r="H1875" s="8"/>
    </row>
    <row r="1876" ht="25" customHeight="1" spans="1:8">
      <c r="A1876" s="6">
        <v>1874</v>
      </c>
      <c r="B1876" s="7" t="str">
        <f t="shared" si="442"/>
        <v>103</v>
      </c>
      <c r="C1876" s="7" t="s">
        <v>663</v>
      </c>
      <c r="D1876" s="7" t="s">
        <v>664</v>
      </c>
      <c r="E1876" s="7" t="str">
        <f>"刘柳"</f>
        <v>刘柳</v>
      </c>
      <c r="F1876" s="7" t="str">
        <f t="shared" si="451"/>
        <v>女</v>
      </c>
      <c r="G1876" s="7" t="s">
        <v>1628</v>
      </c>
      <c r="H1876" s="8"/>
    </row>
    <row r="1877" ht="25" customHeight="1" spans="1:8">
      <c r="A1877" s="6">
        <v>1875</v>
      </c>
      <c r="B1877" s="7" t="str">
        <f t="shared" si="442"/>
        <v>103</v>
      </c>
      <c r="C1877" s="7" t="s">
        <v>663</v>
      </c>
      <c r="D1877" s="7" t="s">
        <v>664</v>
      </c>
      <c r="E1877" s="7" t="str">
        <f>"胡珂荃"</f>
        <v>胡珂荃</v>
      </c>
      <c r="F1877" s="7" t="str">
        <f t="shared" si="451"/>
        <v>女</v>
      </c>
      <c r="G1877" s="7" t="s">
        <v>1629</v>
      </c>
      <c r="H1877" s="8"/>
    </row>
    <row r="1878" ht="25" customHeight="1" spans="1:8">
      <c r="A1878" s="6">
        <v>1876</v>
      </c>
      <c r="B1878" s="7" t="str">
        <f t="shared" si="442"/>
        <v>103</v>
      </c>
      <c r="C1878" s="7" t="s">
        <v>663</v>
      </c>
      <c r="D1878" s="7" t="s">
        <v>664</v>
      </c>
      <c r="E1878" s="7" t="str">
        <f>"符精妹"</f>
        <v>符精妹</v>
      </c>
      <c r="F1878" s="7" t="str">
        <f t="shared" si="451"/>
        <v>女</v>
      </c>
      <c r="G1878" s="7" t="s">
        <v>1387</v>
      </c>
      <c r="H1878" s="8"/>
    </row>
    <row r="1879" ht="25" customHeight="1" spans="1:8">
      <c r="A1879" s="6">
        <v>1877</v>
      </c>
      <c r="B1879" s="7" t="str">
        <f t="shared" si="442"/>
        <v>103</v>
      </c>
      <c r="C1879" s="7" t="s">
        <v>663</v>
      </c>
      <c r="D1879" s="7" t="s">
        <v>664</v>
      </c>
      <c r="E1879" s="7" t="str">
        <f>"董吉芬"</f>
        <v>董吉芬</v>
      </c>
      <c r="F1879" s="7" t="str">
        <f t="shared" si="451"/>
        <v>女</v>
      </c>
      <c r="G1879" s="7" t="s">
        <v>1630</v>
      </c>
      <c r="H1879" s="8"/>
    </row>
    <row r="1880" ht="25" customHeight="1" spans="1:8">
      <c r="A1880" s="6">
        <v>1878</v>
      </c>
      <c r="B1880" s="7" t="str">
        <f t="shared" si="442"/>
        <v>103</v>
      </c>
      <c r="C1880" s="7" t="s">
        <v>663</v>
      </c>
      <c r="D1880" s="7" t="s">
        <v>664</v>
      </c>
      <c r="E1880" s="7" t="str">
        <f>"吴淑镘"</f>
        <v>吴淑镘</v>
      </c>
      <c r="F1880" s="7" t="str">
        <f t="shared" si="451"/>
        <v>女</v>
      </c>
      <c r="G1880" s="7" t="s">
        <v>1631</v>
      </c>
      <c r="H1880" s="8"/>
    </row>
    <row r="1881" ht="25" customHeight="1" spans="1:8">
      <c r="A1881" s="6">
        <v>1879</v>
      </c>
      <c r="B1881" s="7" t="str">
        <f t="shared" si="442"/>
        <v>103</v>
      </c>
      <c r="C1881" s="7" t="s">
        <v>663</v>
      </c>
      <c r="D1881" s="7" t="s">
        <v>664</v>
      </c>
      <c r="E1881" s="7" t="str">
        <f>"王雨露"</f>
        <v>王雨露</v>
      </c>
      <c r="F1881" s="7" t="str">
        <f t="shared" si="451"/>
        <v>女</v>
      </c>
      <c r="G1881" s="7" t="s">
        <v>1632</v>
      </c>
      <c r="H1881" s="8"/>
    </row>
    <row r="1882" ht="25" customHeight="1" spans="1:8">
      <c r="A1882" s="6">
        <v>1880</v>
      </c>
      <c r="B1882" s="7" t="str">
        <f t="shared" si="442"/>
        <v>103</v>
      </c>
      <c r="C1882" s="7" t="s">
        <v>663</v>
      </c>
      <c r="D1882" s="7" t="s">
        <v>664</v>
      </c>
      <c r="E1882" s="7" t="str">
        <f>"胡小纱"</f>
        <v>胡小纱</v>
      </c>
      <c r="F1882" s="7" t="str">
        <f t="shared" si="451"/>
        <v>女</v>
      </c>
      <c r="G1882" s="7" t="s">
        <v>1433</v>
      </c>
      <c r="H1882" s="8"/>
    </row>
    <row r="1883" ht="25" customHeight="1" spans="1:8">
      <c r="A1883" s="6">
        <v>1881</v>
      </c>
      <c r="B1883" s="7" t="str">
        <f t="shared" si="442"/>
        <v>103</v>
      </c>
      <c r="C1883" s="7" t="s">
        <v>663</v>
      </c>
      <c r="D1883" s="7" t="s">
        <v>664</v>
      </c>
      <c r="E1883" s="7" t="str">
        <f>"吴颖"</f>
        <v>吴颖</v>
      </c>
      <c r="F1883" s="7" t="str">
        <f t="shared" si="451"/>
        <v>女</v>
      </c>
      <c r="G1883" s="7" t="s">
        <v>1633</v>
      </c>
      <c r="H1883" s="8"/>
    </row>
    <row r="1884" ht="25" customHeight="1" spans="1:8">
      <c r="A1884" s="6">
        <v>1882</v>
      </c>
      <c r="B1884" s="7" t="str">
        <f t="shared" si="442"/>
        <v>103</v>
      </c>
      <c r="C1884" s="7" t="s">
        <v>663</v>
      </c>
      <c r="D1884" s="7" t="s">
        <v>664</v>
      </c>
      <c r="E1884" s="7" t="str">
        <f>"黎卓琪"</f>
        <v>黎卓琪</v>
      </c>
      <c r="F1884" s="7" t="str">
        <f t="shared" si="451"/>
        <v>女</v>
      </c>
      <c r="G1884" s="7" t="s">
        <v>235</v>
      </c>
      <c r="H1884" s="8"/>
    </row>
    <row r="1885" ht="25" customHeight="1" spans="1:8">
      <c r="A1885" s="6">
        <v>1883</v>
      </c>
      <c r="B1885" s="7" t="str">
        <f t="shared" si="442"/>
        <v>103</v>
      </c>
      <c r="C1885" s="7" t="s">
        <v>663</v>
      </c>
      <c r="D1885" s="7" t="s">
        <v>664</v>
      </c>
      <c r="E1885" s="7" t="str">
        <f>"丰瑞之"</f>
        <v>丰瑞之</v>
      </c>
      <c r="F1885" s="7" t="str">
        <f t="shared" ref="F1885:F1887" si="452">"男"</f>
        <v>男</v>
      </c>
      <c r="G1885" s="7" t="s">
        <v>1634</v>
      </c>
      <c r="H1885" s="8"/>
    </row>
    <row r="1886" ht="25" customHeight="1" spans="1:8">
      <c r="A1886" s="6">
        <v>1884</v>
      </c>
      <c r="B1886" s="7" t="str">
        <f t="shared" si="442"/>
        <v>103</v>
      </c>
      <c r="C1886" s="7" t="s">
        <v>663</v>
      </c>
      <c r="D1886" s="7" t="s">
        <v>664</v>
      </c>
      <c r="E1886" s="7" t="str">
        <f>"陈言彰"</f>
        <v>陈言彰</v>
      </c>
      <c r="F1886" s="7" t="str">
        <f t="shared" si="452"/>
        <v>男</v>
      </c>
      <c r="G1886" s="7" t="s">
        <v>1635</v>
      </c>
      <c r="H1886" s="8"/>
    </row>
    <row r="1887" ht="25" customHeight="1" spans="1:8">
      <c r="A1887" s="6">
        <v>1885</v>
      </c>
      <c r="B1887" s="7" t="str">
        <f t="shared" si="442"/>
        <v>103</v>
      </c>
      <c r="C1887" s="7" t="s">
        <v>663</v>
      </c>
      <c r="D1887" s="7" t="s">
        <v>664</v>
      </c>
      <c r="E1887" s="7" t="str">
        <f>"胡君扬"</f>
        <v>胡君扬</v>
      </c>
      <c r="F1887" s="7" t="str">
        <f t="shared" si="452"/>
        <v>男</v>
      </c>
      <c r="G1887" s="7" t="s">
        <v>1636</v>
      </c>
      <c r="H1887" s="8"/>
    </row>
    <row r="1888" ht="25" customHeight="1" spans="1:8">
      <c r="A1888" s="6">
        <v>1886</v>
      </c>
      <c r="B1888" s="7" t="str">
        <f t="shared" si="442"/>
        <v>103</v>
      </c>
      <c r="C1888" s="7" t="s">
        <v>663</v>
      </c>
      <c r="D1888" s="7" t="s">
        <v>664</v>
      </c>
      <c r="E1888" s="7" t="str">
        <f>"齐凌誉"</f>
        <v>齐凌誉</v>
      </c>
      <c r="F1888" s="7" t="str">
        <f t="shared" ref="F1888:F1891" si="453">"女"</f>
        <v>女</v>
      </c>
      <c r="G1888" s="7" t="s">
        <v>1637</v>
      </c>
      <c r="H1888" s="8"/>
    </row>
    <row r="1889" ht="25" customHeight="1" spans="1:8">
      <c r="A1889" s="6">
        <v>1887</v>
      </c>
      <c r="B1889" s="7" t="str">
        <f t="shared" si="442"/>
        <v>103</v>
      </c>
      <c r="C1889" s="7" t="s">
        <v>663</v>
      </c>
      <c r="D1889" s="7" t="s">
        <v>664</v>
      </c>
      <c r="E1889" s="7" t="str">
        <f>"王照君"</f>
        <v>王照君</v>
      </c>
      <c r="F1889" s="7" t="str">
        <f t="shared" si="453"/>
        <v>女</v>
      </c>
      <c r="G1889" s="7" t="s">
        <v>1398</v>
      </c>
      <c r="H1889" s="8"/>
    </row>
    <row r="1890" ht="25" customHeight="1" spans="1:8">
      <c r="A1890" s="6">
        <v>1888</v>
      </c>
      <c r="B1890" s="7" t="str">
        <f t="shared" si="442"/>
        <v>103</v>
      </c>
      <c r="C1890" s="7" t="s">
        <v>663</v>
      </c>
      <c r="D1890" s="7" t="s">
        <v>664</v>
      </c>
      <c r="E1890" s="7" t="str">
        <f>"黎瑞帅"</f>
        <v>黎瑞帅</v>
      </c>
      <c r="F1890" s="7" t="str">
        <f t="shared" ref="F1890:F1893" si="454">"男"</f>
        <v>男</v>
      </c>
      <c r="G1890" s="7" t="s">
        <v>1638</v>
      </c>
      <c r="H1890" s="8"/>
    </row>
    <row r="1891" ht="25" customHeight="1" spans="1:8">
      <c r="A1891" s="6">
        <v>1889</v>
      </c>
      <c r="B1891" s="7" t="str">
        <f t="shared" si="442"/>
        <v>103</v>
      </c>
      <c r="C1891" s="7" t="s">
        <v>663</v>
      </c>
      <c r="D1891" s="7" t="s">
        <v>664</v>
      </c>
      <c r="E1891" s="7" t="str">
        <f>"徐雪超"</f>
        <v>徐雪超</v>
      </c>
      <c r="F1891" s="7" t="str">
        <f t="shared" si="453"/>
        <v>女</v>
      </c>
      <c r="G1891" s="7" t="s">
        <v>1639</v>
      </c>
      <c r="H1891" s="8"/>
    </row>
    <row r="1892" ht="25" customHeight="1" spans="1:8">
      <c r="A1892" s="6">
        <v>1890</v>
      </c>
      <c r="B1892" s="7" t="str">
        <f t="shared" si="442"/>
        <v>103</v>
      </c>
      <c r="C1892" s="7" t="s">
        <v>663</v>
      </c>
      <c r="D1892" s="7" t="s">
        <v>664</v>
      </c>
      <c r="E1892" s="7" t="str">
        <f>"邢彬彬"</f>
        <v>邢彬彬</v>
      </c>
      <c r="F1892" s="7" t="str">
        <f t="shared" si="454"/>
        <v>男</v>
      </c>
      <c r="G1892" s="7" t="s">
        <v>1640</v>
      </c>
      <c r="H1892" s="8"/>
    </row>
    <row r="1893" ht="25" customHeight="1" spans="1:8">
      <c r="A1893" s="6">
        <v>1891</v>
      </c>
      <c r="B1893" s="7" t="str">
        <f t="shared" si="442"/>
        <v>103</v>
      </c>
      <c r="C1893" s="7" t="s">
        <v>663</v>
      </c>
      <c r="D1893" s="7" t="s">
        <v>664</v>
      </c>
      <c r="E1893" s="7" t="str">
        <f>"齐普凡"</f>
        <v>齐普凡</v>
      </c>
      <c r="F1893" s="7" t="str">
        <f t="shared" si="454"/>
        <v>男</v>
      </c>
      <c r="G1893" s="7" t="s">
        <v>1641</v>
      </c>
      <c r="H1893" s="8"/>
    </row>
    <row r="1894" ht="25" customHeight="1" spans="1:8">
      <c r="A1894" s="6">
        <v>1892</v>
      </c>
      <c r="B1894" s="7" t="str">
        <f t="shared" si="442"/>
        <v>103</v>
      </c>
      <c r="C1894" s="7" t="s">
        <v>663</v>
      </c>
      <c r="D1894" s="7" t="s">
        <v>664</v>
      </c>
      <c r="E1894" s="7" t="str">
        <f>"范琳"</f>
        <v>范琳</v>
      </c>
      <c r="F1894" s="7" t="str">
        <f t="shared" ref="F1894:F1896" si="455">"女"</f>
        <v>女</v>
      </c>
      <c r="G1894" s="7" t="s">
        <v>1642</v>
      </c>
      <c r="H1894" s="8"/>
    </row>
    <row r="1895" ht="25" customHeight="1" spans="1:8">
      <c r="A1895" s="6">
        <v>1893</v>
      </c>
      <c r="B1895" s="7" t="str">
        <f t="shared" si="442"/>
        <v>103</v>
      </c>
      <c r="C1895" s="7" t="s">
        <v>663</v>
      </c>
      <c r="D1895" s="7" t="s">
        <v>664</v>
      </c>
      <c r="E1895" s="7" t="str">
        <f>"曾琦琦"</f>
        <v>曾琦琦</v>
      </c>
      <c r="F1895" s="7" t="str">
        <f t="shared" si="455"/>
        <v>女</v>
      </c>
      <c r="G1895" s="7" t="s">
        <v>1643</v>
      </c>
      <c r="H1895" s="8"/>
    </row>
    <row r="1896" ht="25" customHeight="1" spans="1:8">
      <c r="A1896" s="6">
        <v>1894</v>
      </c>
      <c r="B1896" s="7" t="str">
        <f t="shared" ref="B1896:B1959" si="456">"103"</f>
        <v>103</v>
      </c>
      <c r="C1896" s="7" t="s">
        <v>663</v>
      </c>
      <c r="D1896" s="7" t="s">
        <v>664</v>
      </c>
      <c r="E1896" s="7" t="str">
        <f>"陈永慧"</f>
        <v>陈永慧</v>
      </c>
      <c r="F1896" s="7" t="str">
        <f t="shared" si="455"/>
        <v>女</v>
      </c>
      <c r="G1896" s="7" t="s">
        <v>1644</v>
      </c>
      <c r="H1896" s="8"/>
    </row>
    <row r="1897" ht="25" customHeight="1" spans="1:8">
      <c r="A1897" s="6">
        <v>1895</v>
      </c>
      <c r="B1897" s="7" t="str">
        <f t="shared" si="456"/>
        <v>103</v>
      </c>
      <c r="C1897" s="7" t="s">
        <v>663</v>
      </c>
      <c r="D1897" s="7" t="s">
        <v>664</v>
      </c>
      <c r="E1897" s="7" t="str">
        <f>"王堂臻"</f>
        <v>王堂臻</v>
      </c>
      <c r="F1897" s="7" t="str">
        <f>"男"</f>
        <v>男</v>
      </c>
      <c r="G1897" s="7" t="s">
        <v>222</v>
      </c>
      <c r="H1897" s="8"/>
    </row>
    <row r="1898" ht="25" customHeight="1" spans="1:8">
      <c r="A1898" s="6">
        <v>1896</v>
      </c>
      <c r="B1898" s="7" t="str">
        <f t="shared" si="456"/>
        <v>103</v>
      </c>
      <c r="C1898" s="7" t="s">
        <v>663</v>
      </c>
      <c r="D1898" s="7" t="s">
        <v>664</v>
      </c>
      <c r="E1898" s="7" t="str">
        <f>"王式城"</f>
        <v>王式城</v>
      </c>
      <c r="F1898" s="7" t="str">
        <f>"男"</f>
        <v>男</v>
      </c>
      <c r="G1898" s="7" t="s">
        <v>1645</v>
      </c>
      <c r="H1898" s="8"/>
    </row>
    <row r="1899" ht="25" customHeight="1" spans="1:8">
      <c r="A1899" s="6">
        <v>1897</v>
      </c>
      <c r="B1899" s="7" t="str">
        <f t="shared" si="456"/>
        <v>103</v>
      </c>
      <c r="C1899" s="7" t="s">
        <v>663</v>
      </c>
      <c r="D1899" s="7" t="s">
        <v>664</v>
      </c>
      <c r="E1899" s="7" t="str">
        <f>"吕彤彤"</f>
        <v>吕彤彤</v>
      </c>
      <c r="F1899" s="7" t="str">
        <f t="shared" ref="F1899:F1902" si="457">"女"</f>
        <v>女</v>
      </c>
      <c r="G1899" s="7" t="s">
        <v>1646</v>
      </c>
      <c r="H1899" s="8"/>
    </row>
    <row r="1900" ht="25" customHeight="1" spans="1:8">
      <c r="A1900" s="6">
        <v>1898</v>
      </c>
      <c r="B1900" s="7" t="str">
        <f t="shared" si="456"/>
        <v>103</v>
      </c>
      <c r="C1900" s="7" t="s">
        <v>663</v>
      </c>
      <c r="D1900" s="7" t="s">
        <v>664</v>
      </c>
      <c r="E1900" s="7" t="str">
        <f>"陈霞飞"</f>
        <v>陈霞飞</v>
      </c>
      <c r="F1900" s="7" t="str">
        <f t="shared" si="457"/>
        <v>女</v>
      </c>
      <c r="G1900" s="7" t="s">
        <v>1647</v>
      </c>
      <c r="H1900" s="8"/>
    </row>
    <row r="1901" ht="25" customHeight="1" spans="1:8">
      <c r="A1901" s="6">
        <v>1899</v>
      </c>
      <c r="B1901" s="7" t="str">
        <f t="shared" si="456"/>
        <v>103</v>
      </c>
      <c r="C1901" s="7" t="s">
        <v>663</v>
      </c>
      <c r="D1901" s="7" t="s">
        <v>664</v>
      </c>
      <c r="E1901" s="7" t="str">
        <f>"李小红"</f>
        <v>李小红</v>
      </c>
      <c r="F1901" s="7" t="str">
        <f t="shared" si="457"/>
        <v>女</v>
      </c>
      <c r="G1901" s="7" t="s">
        <v>1648</v>
      </c>
      <c r="H1901" s="8"/>
    </row>
    <row r="1902" ht="25" customHeight="1" spans="1:8">
      <c r="A1902" s="6">
        <v>1900</v>
      </c>
      <c r="B1902" s="7" t="str">
        <f t="shared" si="456"/>
        <v>103</v>
      </c>
      <c r="C1902" s="7" t="s">
        <v>663</v>
      </c>
      <c r="D1902" s="7" t="s">
        <v>664</v>
      </c>
      <c r="E1902" s="7" t="str">
        <f>"周芸宇"</f>
        <v>周芸宇</v>
      </c>
      <c r="F1902" s="7" t="str">
        <f t="shared" si="457"/>
        <v>女</v>
      </c>
      <c r="G1902" s="7" t="s">
        <v>1649</v>
      </c>
      <c r="H1902" s="8"/>
    </row>
    <row r="1903" ht="25" customHeight="1" spans="1:8">
      <c r="A1903" s="6">
        <v>1901</v>
      </c>
      <c r="B1903" s="7" t="str">
        <f t="shared" si="456"/>
        <v>103</v>
      </c>
      <c r="C1903" s="7" t="s">
        <v>663</v>
      </c>
      <c r="D1903" s="7" t="s">
        <v>664</v>
      </c>
      <c r="E1903" s="7" t="str">
        <f>"李澳龙"</f>
        <v>李澳龙</v>
      </c>
      <c r="F1903" s="7" t="str">
        <f t="shared" ref="F1903:F1909" si="458">"男"</f>
        <v>男</v>
      </c>
      <c r="G1903" s="7" t="s">
        <v>1650</v>
      </c>
      <c r="H1903" s="8"/>
    </row>
    <row r="1904" ht="25" customHeight="1" spans="1:8">
      <c r="A1904" s="6">
        <v>1902</v>
      </c>
      <c r="B1904" s="7" t="str">
        <f t="shared" si="456"/>
        <v>103</v>
      </c>
      <c r="C1904" s="7" t="s">
        <v>663</v>
      </c>
      <c r="D1904" s="7" t="s">
        <v>664</v>
      </c>
      <c r="E1904" s="7" t="str">
        <f>"李珍燕"</f>
        <v>李珍燕</v>
      </c>
      <c r="F1904" s="7" t="str">
        <f>"女"</f>
        <v>女</v>
      </c>
      <c r="G1904" s="7" t="s">
        <v>1387</v>
      </c>
      <c r="H1904" s="8"/>
    </row>
    <row r="1905" ht="25" customHeight="1" spans="1:8">
      <c r="A1905" s="6">
        <v>1903</v>
      </c>
      <c r="B1905" s="7" t="str">
        <f t="shared" si="456"/>
        <v>103</v>
      </c>
      <c r="C1905" s="7" t="s">
        <v>663</v>
      </c>
      <c r="D1905" s="7" t="s">
        <v>664</v>
      </c>
      <c r="E1905" s="7" t="str">
        <f>"刘璐"</f>
        <v>刘璐</v>
      </c>
      <c r="F1905" s="7" t="str">
        <f>"女"</f>
        <v>女</v>
      </c>
      <c r="G1905" s="7" t="s">
        <v>1651</v>
      </c>
      <c r="H1905" s="8"/>
    </row>
    <row r="1906" ht="25" customHeight="1" spans="1:8">
      <c r="A1906" s="6">
        <v>1904</v>
      </c>
      <c r="B1906" s="7" t="str">
        <f t="shared" si="456"/>
        <v>103</v>
      </c>
      <c r="C1906" s="7" t="s">
        <v>663</v>
      </c>
      <c r="D1906" s="7" t="s">
        <v>664</v>
      </c>
      <c r="E1906" s="7" t="str">
        <f>"符武俊"</f>
        <v>符武俊</v>
      </c>
      <c r="F1906" s="7" t="str">
        <f t="shared" si="458"/>
        <v>男</v>
      </c>
      <c r="G1906" s="7" t="s">
        <v>1652</v>
      </c>
      <c r="H1906" s="8"/>
    </row>
    <row r="1907" ht="25" customHeight="1" spans="1:8">
      <c r="A1907" s="6">
        <v>1905</v>
      </c>
      <c r="B1907" s="7" t="str">
        <f t="shared" si="456"/>
        <v>103</v>
      </c>
      <c r="C1907" s="7" t="s">
        <v>663</v>
      </c>
      <c r="D1907" s="7" t="s">
        <v>664</v>
      </c>
      <c r="E1907" s="7" t="str">
        <f>"麦福增"</f>
        <v>麦福增</v>
      </c>
      <c r="F1907" s="7" t="str">
        <f t="shared" si="458"/>
        <v>男</v>
      </c>
      <c r="G1907" s="7" t="s">
        <v>1653</v>
      </c>
      <c r="H1907" s="8"/>
    </row>
    <row r="1908" ht="25" customHeight="1" spans="1:8">
      <c r="A1908" s="6">
        <v>1906</v>
      </c>
      <c r="B1908" s="7" t="str">
        <f t="shared" si="456"/>
        <v>103</v>
      </c>
      <c r="C1908" s="7" t="s">
        <v>663</v>
      </c>
      <c r="D1908" s="7" t="s">
        <v>664</v>
      </c>
      <c r="E1908" s="7" t="str">
        <f>"林升令"</f>
        <v>林升令</v>
      </c>
      <c r="F1908" s="7" t="str">
        <f t="shared" si="458"/>
        <v>男</v>
      </c>
      <c r="G1908" s="7" t="s">
        <v>1654</v>
      </c>
      <c r="H1908" s="8"/>
    </row>
    <row r="1909" ht="25" customHeight="1" spans="1:8">
      <c r="A1909" s="6">
        <v>1907</v>
      </c>
      <c r="B1909" s="7" t="str">
        <f t="shared" si="456"/>
        <v>103</v>
      </c>
      <c r="C1909" s="7" t="s">
        <v>663</v>
      </c>
      <c r="D1909" s="7" t="s">
        <v>664</v>
      </c>
      <c r="E1909" s="7" t="str">
        <f>"邢维壮"</f>
        <v>邢维壮</v>
      </c>
      <c r="F1909" s="7" t="str">
        <f t="shared" si="458"/>
        <v>男</v>
      </c>
      <c r="G1909" s="7" t="s">
        <v>1655</v>
      </c>
      <c r="H1909" s="8"/>
    </row>
    <row r="1910" ht="25" customHeight="1" spans="1:8">
      <c r="A1910" s="6">
        <v>1908</v>
      </c>
      <c r="B1910" s="7" t="str">
        <f t="shared" si="456"/>
        <v>103</v>
      </c>
      <c r="C1910" s="7" t="s">
        <v>663</v>
      </c>
      <c r="D1910" s="7" t="s">
        <v>664</v>
      </c>
      <c r="E1910" s="7" t="str">
        <f>"王娟"</f>
        <v>王娟</v>
      </c>
      <c r="F1910" s="7" t="str">
        <f>"女"</f>
        <v>女</v>
      </c>
      <c r="G1910" s="7" t="s">
        <v>1656</v>
      </c>
      <c r="H1910" s="8"/>
    </row>
    <row r="1911" ht="25" customHeight="1" spans="1:8">
      <c r="A1911" s="6">
        <v>1909</v>
      </c>
      <c r="B1911" s="7" t="str">
        <f t="shared" si="456"/>
        <v>103</v>
      </c>
      <c r="C1911" s="7" t="s">
        <v>663</v>
      </c>
      <c r="D1911" s="7" t="s">
        <v>664</v>
      </c>
      <c r="E1911" s="7" t="str">
        <f>"黄宗仙"</f>
        <v>黄宗仙</v>
      </c>
      <c r="F1911" s="7" t="str">
        <f t="shared" ref="F1911:F1915" si="459">"男"</f>
        <v>男</v>
      </c>
      <c r="G1911" s="7" t="s">
        <v>1353</v>
      </c>
      <c r="H1911" s="8"/>
    </row>
    <row r="1912" ht="25" customHeight="1" spans="1:8">
      <c r="A1912" s="6">
        <v>1910</v>
      </c>
      <c r="B1912" s="7" t="str">
        <f t="shared" si="456"/>
        <v>103</v>
      </c>
      <c r="C1912" s="7" t="s">
        <v>663</v>
      </c>
      <c r="D1912" s="7" t="s">
        <v>664</v>
      </c>
      <c r="E1912" s="7" t="str">
        <f>"侯道帆"</f>
        <v>侯道帆</v>
      </c>
      <c r="F1912" s="7" t="str">
        <f t="shared" si="459"/>
        <v>男</v>
      </c>
      <c r="G1912" s="7" t="s">
        <v>1657</v>
      </c>
      <c r="H1912" s="8"/>
    </row>
    <row r="1913" ht="25" customHeight="1" spans="1:8">
      <c r="A1913" s="6">
        <v>1911</v>
      </c>
      <c r="B1913" s="7" t="str">
        <f t="shared" si="456"/>
        <v>103</v>
      </c>
      <c r="C1913" s="7" t="s">
        <v>663</v>
      </c>
      <c r="D1913" s="7" t="s">
        <v>664</v>
      </c>
      <c r="E1913" s="7" t="str">
        <f>"苏文武"</f>
        <v>苏文武</v>
      </c>
      <c r="F1913" s="7" t="str">
        <f t="shared" si="459"/>
        <v>男</v>
      </c>
      <c r="G1913" s="7" t="s">
        <v>1658</v>
      </c>
      <c r="H1913" s="8"/>
    </row>
    <row r="1914" ht="25" customHeight="1" spans="1:8">
      <c r="A1914" s="6">
        <v>1912</v>
      </c>
      <c r="B1914" s="7" t="str">
        <f t="shared" si="456"/>
        <v>103</v>
      </c>
      <c r="C1914" s="7" t="s">
        <v>663</v>
      </c>
      <c r="D1914" s="7" t="s">
        <v>664</v>
      </c>
      <c r="E1914" s="7" t="str">
        <f>"黄龙宇"</f>
        <v>黄龙宇</v>
      </c>
      <c r="F1914" s="7" t="str">
        <f t="shared" si="459"/>
        <v>男</v>
      </c>
      <c r="G1914" s="7" t="s">
        <v>1659</v>
      </c>
      <c r="H1914" s="8"/>
    </row>
    <row r="1915" ht="25" customHeight="1" spans="1:8">
      <c r="A1915" s="6">
        <v>1913</v>
      </c>
      <c r="B1915" s="7" t="str">
        <f t="shared" si="456"/>
        <v>103</v>
      </c>
      <c r="C1915" s="7" t="s">
        <v>663</v>
      </c>
      <c r="D1915" s="7" t="s">
        <v>664</v>
      </c>
      <c r="E1915" s="7" t="str">
        <f>"陈泽豪"</f>
        <v>陈泽豪</v>
      </c>
      <c r="F1915" s="7" t="str">
        <f t="shared" si="459"/>
        <v>男</v>
      </c>
      <c r="G1915" s="7" t="s">
        <v>193</v>
      </c>
      <c r="H1915" s="8"/>
    </row>
    <row r="1916" ht="25" customHeight="1" spans="1:8">
      <c r="A1916" s="6">
        <v>1914</v>
      </c>
      <c r="B1916" s="7" t="str">
        <f t="shared" si="456"/>
        <v>103</v>
      </c>
      <c r="C1916" s="7" t="s">
        <v>663</v>
      </c>
      <c r="D1916" s="7" t="s">
        <v>664</v>
      </c>
      <c r="E1916" s="7" t="str">
        <f>"吴怡冰"</f>
        <v>吴怡冰</v>
      </c>
      <c r="F1916" s="7" t="str">
        <f t="shared" ref="F1916:F1918" si="460">"女"</f>
        <v>女</v>
      </c>
      <c r="G1916" s="7" t="s">
        <v>1660</v>
      </c>
      <c r="H1916" s="8"/>
    </row>
    <row r="1917" ht="25" customHeight="1" spans="1:8">
      <c r="A1917" s="6">
        <v>1915</v>
      </c>
      <c r="B1917" s="7" t="str">
        <f t="shared" si="456"/>
        <v>103</v>
      </c>
      <c r="C1917" s="7" t="s">
        <v>663</v>
      </c>
      <c r="D1917" s="7" t="s">
        <v>664</v>
      </c>
      <c r="E1917" s="7" t="str">
        <f>"郭教丹"</f>
        <v>郭教丹</v>
      </c>
      <c r="F1917" s="7" t="str">
        <f t="shared" si="460"/>
        <v>女</v>
      </c>
      <c r="G1917" s="7" t="s">
        <v>1661</v>
      </c>
      <c r="H1917" s="8"/>
    </row>
    <row r="1918" ht="25" customHeight="1" spans="1:8">
      <c r="A1918" s="6">
        <v>1916</v>
      </c>
      <c r="B1918" s="7" t="str">
        <f t="shared" si="456"/>
        <v>103</v>
      </c>
      <c r="C1918" s="7" t="s">
        <v>663</v>
      </c>
      <c r="D1918" s="7" t="s">
        <v>664</v>
      </c>
      <c r="E1918" s="7" t="str">
        <f>"蒋海圆"</f>
        <v>蒋海圆</v>
      </c>
      <c r="F1918" s="7" t="str">
        <f t="shared" si="460"/>
        <v>女</v>
      </c>
      <c r="G1918" s="7" t="s">
        <v>788</v>
      </c>
      <c r="H1918" s="8"/>
    </row>
    <row r="1919" ht="25" customHeight="1" spans="1:8">
      <c r="A1919" s="6">
        <v>1917</v>
      </c>
      <c r="B1919" s="7" t="str">
        <f t="shared" si="456"/>
        <v>103</v>
      </c>
      <c r="C1919" s="7" t="s">
        <v>663</v>
      </c>
      <c r="D1919" s="7" t="s">
        <v>664</v>
      </c>
      <c r="E1919" s="7" t="str">
        <f>"陈星宇"</f>
        <v>陈星宇</v>
      </c>
      <c r="F1919" s="7" t="str">
        <f>"男"</f>
        <v>男</v>
      </c>
      <c r="G1919" s="7" t="s">
        <v>1662</v>
      </c>
      <c r="H1919" s="8"/>
    </row>
    <row r="1920" ht="25" customHeight="1" spans="1:8">
      <c r="A1920" s="6">
        <v>1918</v>
      </c>
      <c r="B1920" s="7" t="str">
        <f t="shared" si="456"/>
        <v>103</v>
      </c>
      <c r="C1920" s="7" t="s">
        <v>663</v>
      </c>
      <c r="D1920" s="7" t="s">
        <v>664</v>
      </c>
      <c r="E1920" s="7" t="str">
        <f>"陈欣"</f>
        <v>陈欣</v>
      </c>
      <c r="F1920" s="7" t="str">
        <f t="shared" ref="F1920:F1923" si="461">"女"</f>
        <v>女</v>
      </c>
      <c r="G1920" s="7" t="s">
        <v>1663</v>
      </c>
      <c r="H1920" s="8"/>
    </row>
    <row r="1921" ht="25" customHeight="1" spans="1:8">
      <c r="A1921" s="6">
        <v>1919</v>
      </c>
      <c r="B1921" s="7" t="str">
        <f t="shared" si="456"/>
        <v>103</v>
      </c>
      <c r="C1921" s="7" t="s">
        <v>663</v>
      </c>
      <c r="D1921" s="7" t="s">
        <v>664</v>
      </c>
      <c r="E1921" s="7" t="str">
        <f>"高媛媛"</f>
        <v>高媛媛</v>
      </c>
      <c r="F1921" s="7" t="str">
        <f t="shared" si="461"/>
        <v>女</v>
      </c>
      <c r="G1921" s="7" t="s">
        <v>631</v>
      </c>
      <c r="H1921" s="8"/>
    </row>
    <row r="1922" ht="25" customHeight="1" spans="1:8">
      <c r="A1922" s="6">
        <v>1920</v>
      </c>
      <c r="B1922" s="7" t="str">
        <f t="shared" si="456"/>
        <v>103</v>
      </c>
      <c r="C1922" s="7" t="s">
        <v>663</v>
      </c>
      <c r="D1922" s="7" t="s">
        <v>664</v>
      </c>
      <c r="E1922" s="7" t="str">
        <f>"黎培娇"</f>
        <v>黎培娇</v>
      </c>
      <c r="F1922" s="7" t="str">
        <f t="shared" si="461"/>
        <v>女</v>
      </c>
      <c r="G1922" s="7" t="s">
        <v>1664</v>
      </c>
      <c r="H1922" s="8"/>
    </row>
    <row r="1923" ht="25" customHeight="1" spans="1:8">
      <c r="A1923" s="6">
        <v>1921</v>
      </c>
      <c r="B1923" s="7" t="str">
        <f t="shared" si="456"/>
        <v>103</v>
      </c>
      <c r="C1923" s="7" t="s">
        <v>663</v>
      </c>
      <c r="D1923" s="7" t="s">
        <v>664</v>
      </c>
      <c r="E1923" s="7" t="str">
        <f>"毛阳芊"</f>
        <v>毛阳芊</v>
      </c>
      <c r="F1923" s="7" t="str">
        <f t="shared" si="461"/>
        <v>女</v>
      </c>
      <c r="G1923" s="7" t="s">
        <v>1665</v>
      </c>
      <c r="H1923" s="8"/>
    </row>
    <row r="1924" ht="25" customHeight="1" spans="1:8">
      <c r="A1924" s="6">
        <v>1922</v>
      </c>
      <c r="B1924" s="7" t="str">
        <f t="shared" si="456"/>
        <v>103</v>
      </c>
      <c r="C1924" s="7" t="s">
        <v>663</v>
      </c>
      <c r="D1924" s="7" t="s">
        <v>664</v>
      </c>
      <c r="E1924" s="7" t="str">
        <f>"郑成宇"</f>
        <v>郑成宇</v>
      </c>
      <c r="F1924" s="7" t="str">
        <f t="shared" ref="F1924:F1928" si="462">"男"</f>
        <v>男</v>
      </c>
      <c r="G1924" s="7" t="s">
        <v>1666</v>
      </c>
      <c r="H1924" s="8"/>
    </row>
    <row r="1925" ht="25" customHeight="1" spans="1:8">
      <c r="A1925" s="6">
        <v>1923</v>
      </c>
      <c r="B1925" s="7" t="str">
        <f t="shared" si="456"/>
        <v>103</v>
      </c>
      <c r="C1925" s="7" t="s">
        <v>663</v>
      </c>
      <c r="D1925" s="7" t="s">
        <v>664</v>
      </c>
      <c r="E1925" s="7" t="str">
        <f>"车美萱"</f>
        <v>车美萱</v>
      </c>
      <c r="F1925" s="7" t="str">
        <f t="shared" ref="F1925:F1932" si="463">"女"</f>
        <v>女</v>
      </c>
      <c r="G1925" s="7" t="s">
        <v>1667</v>
      </c>
      <c r="H1925" s="8"/>
    </row>
    <row r="1926" ht="25" customHeight="1" spans="1:8">
      <c r="A1926" s="6">
        <v>1924</v>
      </c>
      <c r="B1926" s="7" t="str">
        <f t="shared" si="456"/>
        <v>103</v>
      </c>
      <c r="C1926" s="7" t="s">
        <v>663</v>
      </c>
      <c r="D1926" s="7" t="s">
        <v>664</v>
      </c>
      <c r="E1926" s="7" t="str">
        <f>"杨其成"</f>
        <v>杨其成</v>
      </c>
      <c r="F1926" s="7" t="str">
        <f t="shared" si="462"/>
        <v>男</v>
      </c>
      <c r="G1926" s="7" t="s">
        <v>1668</v>
      </c>
      <c r="H1926" s="8"/>
    </row>
    <row r="1927" ht="25" customHeight="1" spans="1:8">
      <c r="A1927" s="6">
        <v>1925</v>
      </c>
      <c r="B1927" s="7" t="str">
        <f t="shared" si="456"/>
        <v>103</v>
      </c>
      <c r="C1927" s="7" t="s">
        <v>663</v>
      </c>
      <c r="D1927" s="7" t="s">
        <v>664</v>
      </c>
      <c r="E1927" s="7" t="str">
        <f>"王政欣"</f>
        <v>王政欣</v>
      </c>
      <c r="F1927" s="7" t="str">
        <f t="shared" si="463"/>
        <v>女</v>
      </c>
      <c r="G1927" s="7" t="s">
        <v>145</v>
      </c>
      <c r="H1927" s="8"/>
    </row>
    <row r="1928" ht="25" customHeight="1" spans="1:8">
      <c r="A1928" s="6">
        <v>1926</v>
      </c>
      <c r="B1928" s="7" t="str">
        <f t="shared" si="456"/>
        <v>103</v>
      </c>
      <c r="C1928" s="7" t="s">
        <v>663</v>
      </c>
      <c r="D1928" s="7" t="s">
        <v>664</v>
      </c>
      <c r="E1928" s="7" t="str">
        <f>"王世文"</f>
        <v>王世文</v>
      </c>
      <c r="F1928" s="7" t="str">
        <f t="shared" si="462"/>
        <v>男</v>
      </c>
      <c r="G1928" s="7" t="s">
        <v>1669</v>
      </c>
      <c r="H1928" s="8"/>
    </row>
    <row r="1929" ht="25" customHeight="1" spans="1:8">
      <c r="A1929" s="6">
        <v>1927</v>
      </c>
      <c r="B1929" s="7" t="str">
        <f t="shared" si="456"/>
        <v>103</v>
      </c>
      <c r="C1929" s="7" t="s">
        <v>663</v>
      </c>
      <c r="D1929" s="7" t="s">
        <v>664</v>
      </c>
      <c r="E1929" s="7" t="str">
        <f>"陈圣洁"</f>
        <v>陈圣洁</v>
      </c>
      <c r="F1929" s="7" t="str">
        <f t="shared" si="463"/>
        <v>女</v>
      </c>
      <c r="G1929" s="7" t="s">
        <v>1670</v>
      </c>
      <c r="H1929" s="8"/>
    </row>
    <row r="1930" ht="25" customHeight="1" spans="1:8">
      <c r="A1930" s="6">
        <v>1928</v>
      </c>
      <c r="B1930" s="7" t="str">
        <f t="shared" si="456"/>
        <v>103</v>
      </c>
      <c r="C1930" s="7" t="s">
        <v>663</v>
      </c>
      <c r="D1930" s="7" t="s">
        <v>664</v>
      </c>
      <c r="E1930" s="7" t="str">
        <f>"李欢"</f>
        <v>李欢</v>
      </c>
      <c r="F1930" s="7" t="str">
        <f t="shared" si="463"/>
        <v>女</v>
      </c>
      <c r="G1930" s="7" t="s">
        <v>1671</v>
      </c>
      <c r="H1930" s="8"/>
    </row>
    <row r="1931" ht="25" customHeight="1" spans="1:8">
      <c r="A1931" s="6">
        <v>1929</v>
      </c>
      <c r="B1931" s="7" t="str">
        <f t="shared" si="456"/>
        <v>103</v>
      </c>
      <c r="C1931" s="7" t="s">
        <v>663</v>
      </c>
      <c r="D1931" s="7" t="s">
        <v>664</v>
      </c>
      <c r="E1931" s="7" t="str">
        <f>"杨丽娟"</f>
        <v>杨丽娟</v>
      </c>
      <c r="F1931" s="7" t="str">
        <f t="shared" si="463"/>
        <v>女</v>
      </c>
      <c r="G1931" s="7" t="s">
        <v>1672</v>
      </c>
      <c r="H1931" s="8"/>
    </row>
    <row r="1932" ht="25" customHeight="1" spans="1:8">
      <c r="A1932" s="6">
        <v>1930</v>
      </c>
      <c r="B1932" s="7" t="str">
        <f t="shared" si="456"/>
        <v>103</v>
      </c>
      <c r="C1932" s="7" t="s">
        <v>663</v>
      </c>
      <c r="D1932" s="7" t="s">
        <v>664</v>
      </c>
      <c r="E1932" s="7" t="str">
        <f>"赵丽新"</f>
        <v>赵丽新</v>
      </c>
      <c r="F1932" s="7" t="str">
        <f t="shared" si="463"/>
        <v>女</v>
      </c>
      <c r="G1932" s="7" t="s">
        <v>1673</v>
      </c>
      <c r="H1932" s="8"/>
    </row>
    <row r="1933" ht="25" customHeight="1" spans="1:8">
      <c r="A1933" s="6">
        <v>1931</v>
      </c>
      <c r="B1933" s="7" t="str">
        <f t="shared" si="456"/>
        <v>103</v>
      </c>
      <c r="C1933" s="7" t="s">
        <v>663</v>
      </c>
      <c r="D1933" s="7" t="s">
        <v>664</v>
      </c>
      <c r="E1933" s="7" t="str">
        <f>"胡其隆"</f>
        <v>胡其隆</v>
      </c>
      <c r="F1933" s="7" t="str">
        <f>"男"</f>
        <v>男</v>
      </c>
      <c r="G1933" s="7" t="s">
        <v>1088</v>
      </c>
      <c r="H1933" s="8"/>
    </row>
    <row r="1934" ht="25" customHeight="1" spans="1:8">
      <c r="A1934" s="6">
        <v>1932</v>
      </c>
      <c r="B1934" s="7" t="str">
        <f t="shared" si="456"/>
        <v>103</v>
      </c>
      <c r="C1934" s="7" t="s">
        <v>663</v>
      </c>
      <c r="D1934" s="7" t="s">
        <v>664</v>
      </c>
      <c r="E1934" s="7" t="str">
        <f>"欧美仪"</f>
        <v>欧美仪</v>
      </c>
      <c r="F1934" s="7" t="str">
        <f t="shared" ref="F1934:F1939" si="464">"女"</f>
        <v>女</v>
      </c>
      <c r="G1934" s="7" t="s">
        <v>1674</v>
      </c>
      <c r="H1934" s="8"/>
    </row>
    <row r="1935" ht="25" customHeight="1" spans="1:8">
      <c r="A1935" s="6">
        <v>1933</v>
      </c>
      <c r="B1935" s="7" t="str">
        <f t="shared" si="456"/>
        <v>103</v>
      </c>
      <c r="C1935" s="7" t="s">
        <v>663</v>
      </c>
      <c r="D1935" s="7" t="s">
        <v>664</v>
      </c>
      <c r="E1935" s="7" t="str">
        <f>"刘引雄"</f>
        <v>刘引雄</v>
      </c>
      <c r="F1935" s="7" t="str">
        <f t="shared" si="464"/>
        <v>女</v>
      </c>
      <c r="G1935" s="7" t="s">
        <v>153</v>
      </c>
      <c r="H1935" s="8"/>
    </row>
    <row r="1936" ht="25" customHeight="1" spans="1:8">
      <c r="A1936" s="6">
        <v>1934</v>
      </c>
      <c r="B1936" s="7" t="str">
        <f t="shared" si="456"/>
        <v>103</v>
      </c>
      <c r="C1936" s="7" t="s">
        <v>663</v>
      </c>
      <c r="D1936" s="7" t="s">
        <v>664</v>
      </c>
      <c r="E1936" s="7" t="str">
        <f>"张文杰"</f>
        <v>张文杰</v>
      </c>
      <c r="F1936" s="7" t="str">
        <f>"男"</f>
        <v>男</v>
      </c>
      <c r="G1936" s="7" t="s">
        <v>1675</v>
      </c>
      <c r="H1936" s="8"/>
    </row>
    <row r="1937" ht="25" customHeight="1" spans="1:8">
      <c r="A1937" s="6">
        <v>1935</v>
      </c>
      <c r="B1937" s="7" t="str">
        <f t="shared" si="456"/>
        <v>103</v>
      </c>
      <c r="C1937" s="7" t="s">
        <v>663</v>
      </c>
      <c r="D1937" s="7" t="s">
        <v>664</v>
      </c>
      <c r="E1937" s="7" t="str">
        <f>"胡蕾磊"</f>
        <v>胡蕾磊</v>
      </c>
      <c r="F1937" s="7" t="str">
        <f t="shared" si="464"/>
        <v>女</v>
      </c>
      <c r="G1937" s="7" t="s">
        <v>660</v>
      </c>
      <c r="H1937" s="8"/>
    </row>
    <row r="1938" ht="25" customHeight="1" spans="1:8">
      <c r="A1938" s="6">
        <v>1936</v>
      </c>
      <c r="B1938" s="7" t="str">
        <f t="shared" si="456"/>
        <v>103</v>
      </c>
      <c r="C1938" s="7" t="s">
        <v>663</v>
      </c>
      <c r="D1938" s="7" t="s">
        <v>664</v>
      </c>
      <c r="E1938" s="7" t="str">
        <f>"吉景瑶"</f>
        <v>吉景瑶</v>
      </c>
      <c r="F1938" s="7" t="str">
        <f t="shared" si="464"/>
        <v>女</v>
      </c>
      <c r="G1938" s="7" t="s">
        <v>1676</v>
      </c>
      <c r="H1938" s="8"/>
    </row>
    <row r="1939" ht="25" customHeight="1" spans="1:8">
      <c r="A1939" s="6">
        <v>1937</v>
      </c>
      <c r="B1939" s="7" t="str">
        <f t="shared" si="456"/>
        <v>103</v>
      </c>
      <c r="C1939" s="7" t="s">
        <v>663</v>
      </c>
      <c r="D1939" s="7" t="s">
        <v>664</v>
      </c>
      <c r="E1939" s="7" t="str">
        <f>"吴婷靖"</f>
        <v>吴婷靖</v>
      </c>
      <c r="F1939" s="7" t="str">
        <f t="shared" si="464"/>
        <v>女</v>
      </c>
      <c r="G1939" s="7" t="s">
        <v>248</v>
      </c>
      <c r="H1939" s="8"/>
    </row>
    <row r="1940" ht="25" customHeight="1" spans="1:8">
      <c r="A1940" s="6">
        <v>1938</v>
      </c>
      <c r="B1940" s="7" t="str">
        <f t="shared" si="456"/>
        <v>103</v>
      </c>
      <c r="C1940" s="7" t="s">
        <v>663</v>
      </c>
      <c r="D1940" s="7" t="s">
        <v>664</v>
      </c>
      <c r="E1940" s="7" t="str">
        <f>"陈孝严"</f>
        <v>陈孝严</v>
      </c>
      <c r="F1940" s="7" t="str">
        <f t="shared" ref="F1940:F1943" si="465">"男"</f>
        <v>男</v>
      </c>
      <c r="G1940" s="7" t="s">
        <v>1677</v>
      </c>
      <c r="H1940" s="8"/>
    </row>
    <row r="1941" ht="25" customHeight="1" spans="1:8">
      <c r="A1941" s="6">
        <v>1939</v>
      </c>
      <c r="B1941" s="7" t="str">
        <f t="shared" si="456"/>
        <v>103</v>
      </c>
      <c r="C1941" s="7" t="s">
        <v>663</v>
      </c>
      <c r="D1941" s="7" t="s">
        <v>664</v>
      </c>
      <c r="E1941" s="7" t="str">
        <f>"梁月朦"</f>
        <v>梁月朦</v>
      </c>
      <c r="F1941" s="7" t="str">
        <f>"女"</f>
        <v>女</v>
      </c>
      <c r="G1941" s="7" t="s">
        <v>1678</v>
      </c>
      <c r="H1941" s="8"/>
    </row>
    <row r="1942" ht="25" customHeight="1" spans="1:8">
      <c r="A1942" s="6">
        <v>1940</v>
      </c>
      <c r="B1942" s="7" t="str">
        <f t="shared" si="456"/>
        <v>103</v>
      </c>
      <c r="C1942" s="7" t="s">
        <v>663</v>
      </c>
      <c r="D1942" s="7" t="s">
        <v>664</v>
      </c>
      <c r="E1942" s="7" t="str">
        <f>"何发亮"</f>
        <v>何发亮</v>
      </c>
      <c r="F1942" s="7" t="str">
        <f t="shared" si="465"/>
        <v>男</v>
      </c>
      <c r="G1942" s="7" t="s">
        <v>1679</v>
      </c>
      <c r="H1942" s="8"/>
    </row>
    <row r="1943" ht="25" customHeight="1" spans="1:8">
      <c r="A1943" s="6">
        <v>1941</v>
      </c>
      <c r="B1943" s="7" t="str">
        <f t="shared" si="456"/>
        <v>103</v>
      </c>
      <c r="C1943" s="7" t="s">
        <v>663</v>
      </c>
      <c r="D1943" s="7" t="s">
        <v>664</v>
      </c>
      <c r="E1943" s="7" t="str">
        <f>"刘新宇"</f>
        <v>刘新宇</v>
      </c>
      <c r="F1943" s="7" t="str">
        <f t="shared" si="465"/>
        <v>男</v>
      </c>
      <c r="G1943" s="7" t="s">
        <v>1680</v>
      </c>
      <c r="H1943" s="8"/>
    </row>
    <row r="1944" ht="25" customHeight="1" spans="1:8">
      <c r="A1944" s="6">
        <v>1942</v>
      </c>
      <c r="B1944" s="7" t="str">
        <f t="shared" si="456"/>
        <v>103</v>
      </c>
      <c r="C1944" s="7" t="s">
        <v>663</v>
      </c>
      <c r="D1944" s="7" t="s">
        <v>664</v>
      </c>
      <c r="E1944" s="7" t="str">
        <f>"薛智梅"</f>
        <v>薛智梅</v>
      </c>
      <c r="F1944" s="7" t="str">
        <f t="shared" ref="F1944:F1949" si="466">"女"</f>
        <v>女</v>
      </c>
      <c r="G1944" s="7" t="s">
        <v>1402</v>
      </c>
      <c r="H1944" s="8"/>
    </row>
    <row r="1945" ht="25" customHeight="1" spans="1:8">
      <c r="A1945" s="6">
        <v>1943</v>
      </c>
      <c r="B1945" s="7" t="str">
        <f t="shared" si="456"/>
        <v>103</v>
      </c>
      <c r="C1945" s="7" t="s">
        <v>663</v>
      </c>
      <c r="D1945" s="7" t="s">
        <v>664</v>
      </c>
      <c r="E1945" s="7" t="str">
        <f>"王琦"</f>
        <v>王琦</v>
      </c>
      <c r="F1945" s="7" t="str">
        <f t="shared" ref="F1945:F1947" si="467">"男"</f>
        <v>男</v>
      </c>
      <c r="G1945" s="7" t="s">
        <v>1681</v>
      </c>
      <c r="H1945" s="8"/>
    </row>
    <row r="1946" ht="25" customHeight="1" spans="1:8">
      <c r="A1946" s="6">
        <v>1944</v>
      </c>
      <c r="B1946" s="7" t="str">
        <f t="shared" si="456"/>
        <v>103</v>
      </c>
      <c r="C1946" s="7" t="s">
        <v>663</v>
      </c>
      <c r="D1946" s="7" t="s">
        <v>664</v>
      </c>
      <c r="E1946" s="7" t="str">
        <f>"冯剑雄"</f>
        <v>冯剑雄</v>
      </c>
      <c r="F1946" s="7" t="str">
        <f t="shared" si="467"/>
        <v>男</v>
      </c>
      <c r="G1946" s="7" t="s">
        <v>1027</v>
      </c>
      <c r="H1946" s="8"/>
    </row>
    <row r="1947" ht="25" customHeight="1" spans="1:8">
      <c r="A1947" s="6">
        <v>1945</v>
      </c>
      <c r="B1947" s="7" t="str">
        <f t="shared" si="456"/>
        <v>103</v>
      </c>
      <c r="C1947" s="7" t="s">
        <v>663</v>
      </c>
      <c r="D1947" s="7" t="s">
        <v>664</v>
      </c>
      <c r="E1947" s="7" t="str">
        <f>"汪礼新"</f>
        <v>汪礼新</v>
      </c>
      <c r="F1947" s="7" t="str">
        <f t="shared" si="467"/>
        <v>男</v>
      </c>
      <c r="G1947" s="7" t="s">
        <v>1682</v>
      </c>
      <c r="H1947" s="8"/>
    </row>
    <row r="1948" ht="25" customHeight="1" spans="1:8">
      <c r="A1948" s="6">
        <v>1946</v>
      </c>
      <c r="B1948" s="7" t="str">
        <f t="shared" si="456"/>
        <v>103</v>
      </c>
      <c r="C1948" s="7" t="s">
        <v>663</v>
      </c>
      <c r="D1948" s="7" t="s">
        <v>664</v>
      </c>
      <c r="E1948" s="7" t="str">
        <f>"李伊果"</f>
        <v>李伊果</v>
      </c>
      <c r="F1948" s="7" t="str">
        <f t="shared" si="466"/>
        <v>女</v>
      </c>
      <c r="G1948" s="7" t="s">
        <v>194</v>
      </c>
      <c r="H1948" s="8"/>
    </row>
    <row r="1949" ht="25" customHeight="1" spans="1:8">
      <c r="A1949" s="6">
        <v>1947</v>
      </c>
      <c r="B1949" s="7" t="str">
        <f t="shared" si="456"/>
        <v>103</v>
      </c>
      <c r="C1949" s="7" t="s">
        <v>663</v>
      </c>
      <c r="D1949" s="7" t="s">
        <v>664</v>
      </c>
      <c r="E1949" s="7" t="str">
        <f>"陈雪"</f>
        <v>陈雪</v>
      </c>
      <c r="F1949" s="7" t="str">
        <f t="shared" si="466"/>
        <v>女</v>
      </c>
      <c r="G1949" s="7" t="s">
        <v>1683</v>
      </c>
      <c r="H1949" s="8"/>
    </row>
    <row r="1950" ht="25" customHeight="1" spans="1:8">
      <c r="A1950" s="6">
        <v>1948</v>
      </c>
      <c r="B1950" s="7" t="str">
        <f t="shared" si="456"/>
        <v>103</v>
      </c>
      <c r="C1950" s="7" t="s">
        <v>663</v>
      </c>
      <c r="D1950" s="7" t="s">
        <v>664</v>
      </c>
      <c r="E1950" s="7" t="str">
        <f>"李松源"</f>
        <v>李松源</v>
      </c>
      <c r="F1950" s="7" t="str">
        <f t="shared" ref="F1950:F1959" si="468">"男"</f>
        <v>男</v>
      </c>
      <c r="G1950" s="7" t="s">
        <v>1684</v>
      </c>
      <c r="H1950" s="8"/>
    </row>
    <row r="1951" ht="25" customHeight="1" spans="1:8">
      <c r="A1951" s="6">
        <v>1949</v>
      </c>
      <c r="B1951" s="7" t="str">
        <f t="shared" si="456"/>
        <v>103</v>
      </c>
      <c r="C1951" s="7" t="s">
        <v>663</v>
      </c>
      <c r="D1951" s="7" t="s">
        <v>664</v>
      </c>
      <c r="E1951" s="7" t="str">
        <f>"符玉娴"</f>
        <v>符玉娴</v>
      </c>
      <c r="F1951" s="7" t="str">
        <f t="shared" ref="F1951:F1953" si="469">"女"</f>
        <v>女</v>
      </c>
      <c r="G1951" s="7" t="s">
        <v>1090</v>
      </c>
      <c r="H1951" s="8"/>
    </row>
    <row r="1952" ht="25" customHeight="1" spans="1:8">
      <c r="A1952" s="6">
        <v>1950</v>
      </c>
      <c r="B1952" s="7" t="str">
        <f t="shared" si="456"/>
        <v>103</v>
      </c>
      <c r="C1952" s="7" t="s">
        <v>663</v>
      </c>
      <c r="D1952" s="7" t="s">
        <v>664</v>
      </c>
      <c r="E1952" s="7" t="str">
        <f>"文佳颖"</f>
        <v>文佳颖</v>
      </c>
      <c r="F1952" s="7" t="str">
        <f t="shared" si="469"/>
        <v>女</v>
      </c>
      <c r="G1952" s="7" t="s">
        <v>1685</v>
      </c>
      <c r="H1952" s="8"/>
    </row>
    <row r="1953" ht="25" customHeight="1" spans="1:8">
      <c r="A1953" s="6">
        <v>1951</v>
      </c>
      <c r="B1953" s="7" t="str">
        <f t="shared" si="456"/>
        <v>103</v>
      </c>
      <c r="C1953" s="7" t="s">
        <v>663</v>
      </c>
      <c r="D1953" s="7" t="s">
        <v>664</v>
      </c>
      <c r="E1953" s="7" t="str">
        <f>"周业莹"</f>
        <v>周业莹</v>
      </c>
      <c r="F1953" s="7" t="str">
        <f t="shared" si="469"/>
        <v>女</v>
      </c>
      <c r="G1953" s="7" t="s">
        <v>1686</v>
      </c>
      <c r="H1953" s="8"/>
    </row>
    <row r="1954" ht="25" customHeight="1" spans="1:8">
      <c r="A1954" s="6">
        <v>1952</v>
      </c>
      <c r="B1954" s="7" t="str">
        <f t="shared" si="456"/>
        <v>103</v>
      </c>
      <c r="C1954" s="7" t="s">
        <v>663</v>
      </c>
      <c r="D1954" s="7" t="s">
        <v>664</v>
      </c>
      <c r="E1954" s="7" t="str">
        <f>"邢孔渗"</f>
        <v>邢孔渗</v>
      </c>
      <c r="F1954" s="7" t="str">
        <f t="shared" si="468"/>
        <v>男</v>
      </c>
      <c r="G1954" s="7" t="s">
        <v>738</v>
      </c>
      <c r="H1954" s="8"/>
    </row>
    <row r="1955" ht="25" customHeight="1" spans="1:8">
      <c r="A1955" s="6">
        <v>1953</v>
      </c>
      <c r="B1955" s="7" t="str">
        <f t="shared" si="456"/>
        <v>103</v>
      </c>
      <c r="C1955" s="7" t="s">
        <v>663</v>
      </c>
      <c r="D1955" s="7" t="s">
        <v>664</v>
      </c>
      <c r="E1955" s="7" t="str">
        <f>"彭振邦"</f>
        <v>彭振邦</v>
      </c>
      <c r="F1955" s="7" t="str">
        <f t="shared" si="468"/>
        <v>男</v>
      </c>
      <c r="G1955" s="7" t="s">
        <v>1687</v>
      </c>
      <c r="H1955" s="8"/>
    </row>
    <row r="1956" ht="25" customHeight="1" spans="1:8">
      <c r="A1956" s="6">
        <v>1954</v>
      </c>
      <c r="B1956" s="7" t="str">
        <f t="shared" si="456"/>
        <v>103</v>
      </c>
      <c r="C1956" s="7" t="s">
        <v>663</v>
      </c>
      <c r="D1956" s="7" t="s">
        <v>664</v>
      </c>
      <c r="E1956" s="7" t="str">
        <f>"孙文涛"</f>
        <v>孙文涛</v>
      </c>
      <c r="F1956" s="7" t="str">
        <f t="shared" si="468"/>
        <v>男</v>
      </c>
      <c r="G1956" s="7" t="s">
        <v>1688</v>
      </c>
      <c r="H1956" s="8"/>
    </row>
    <row r="1957" ht="25" customHeight="1" spans="1:8">
      <c r="A1957" s="6">
        <v>1955</v>
      </c>
      <c r="B1957" s="7" t="str">
        <f t="shared" si="456"/>
        <v>103</v>
      </c>
      <c r="C1957" s="7" t="s">
        <v>663</v>
      </c>
      <c r="D1957" s="7" t="s">
        <v>664</v>
      </c>
      <c r="E1957" s="7" t="str">
        <f>"孙荣智"</f>
        <v>孙荣智</v>
      </c>
      <c r="F1957" s="7" t="str">
        <f t="shared" si="468"/>
        <v>男</v>
      </c>
      <c r="G1957" s="7" t="s">
        <v>1689</v>
      </c>
      <c r="H1957" s="8"/>
    </row>
    <row r="1958" ht="25" customHeight="1" spans="1:8">
      <c r="A1958" s="6">
        <v>1956</v>
      </c>
      <c r="B1958" s="7" t="str">
        <f t="shared" si="456"/>
        <v>103</v>
      </c>
      <c r="C1958" s="7" t="s">
        <v>663</v>
      </c>
      <c r="D1958" s="7" t="s">
        <v>664</v>
      </c>
      <c r="E1958" s="7" t="str">
        <f>"梁崇善"</f>
        <v>梁崇善</v>
      </c>
      <c r="F1958" s="7" t="str">
        <f t="shared" si="468"/>
        <v>男</v>
      </c>
      <c r="G1958" s="7" t="s">
        <v>543</v>
      </c>
      <c r="H1958" s="8"/>
    </row>
    <row r="1959" ht="25" customHeight="1" spans="1:8">
      <c r="A1959" s="6">
        <v>1957</v>
      </c>
      <c r="B1959" s="7" t="str">
        <f t="shared" si="456"/>
        <v>103</v>
      </c>
      <c r="C1959" s="7" t="s">
        <v>663</v>
      </c>
      <c r="D1959" s="7" t="s">
        <v>664</v>
      </c>
      <c r="E1959" s="7" t="str">
        <f>"陈道龙"</f>
        <v>陈道龙</v>
      </c>
      <c r="F1959" s="7" t="str">
        <f t="shared" si="468"/>
        <v>男</v>
      </c>
      <c r="G1959" s="7" t="s">
        <v>1349</v>
      </c>
      <c r="H1959" s="8"/>
    </row>
    <row r="1960" ht="25" customHeight="1" spans="1:8">
      <c r="A1960" s="6">
        <v>1958</v>
      </c>
      <c r="B1960" s="7" t="str">
        <f t="shared" ref="B1960:B2023" si="470">"103"</f>
        <v>103</v>
      </c>
      <c r="C1960" s="7" t="s">
        <v>663</v>
      </c>
      <c r="D1960" s="7" t="s">
        <v>664</v>
      </c>
      <c r="E1960" s="7" t="str">
        <f>"梁云雨"</f>
        <v>梁云雨</v>
      </c>
      <c r="F1960" s="7" t="str">
        <f t="shared" ref="F1960:F1968" si="471">"女"</f>
        <v>女</v>
      </c>
      <c r="G1960" s="7" t="s">
        <v>1690</v>
      </c>
      <c r="H1960" s="8"/>
    </row>
    <row r="1961" ht="25" customHeight="1" spans="1:8">
      <c r="A1961" s="6">
        <v>1959</v>
      </c>
      <c r="B1961" s="7" t="str">
        <f t="shared" si="470"/>
        <v>103</v>
      </c>
      <c r="C1961" s="7" t="s">
        <v>663</v>
      </c>
      <c r="D1961" s="7" t="s">
        <v>664</v>
      </c>
      <c r="E1961" s="7" t="str">
        <f>"符爱燕"</f>
        <v>符爱燕</v>
      </c>
      <c r="F1961" s="7" t="str">
        <f t="shared" si="471"/>
        <v>女</v>
      </c>
      <c r="G1961" s="7" t="s">
        <v>1691</v>
      </c>
      <c r="H1961" s="8"/>
    </row>
    <row r="1962" ht="25" customHeight="1" spans="1:8">
      <c r="A1962" s="6">
        <v>1960</v>
      </c>
      <c r="B1962" s="7" t="str">
        <f t="shared" si="470"/>
        <v>103</v>
      </c>
      <c r="C1962" s="7" t="s">
        <v>663</v>
      </c>
      <c r="D1962" s="7" t="s">
        <v>664</v>
      </c>
      <c r="E1962" s="7" t="str">
        <f>"麦楠楠"</f>
        <v>麦楠楠</v>
      </c>
      <c r="F1962" s="7" t="str">
        <f t="shared" si="471"/>
        <v>女</v>
      </c>
      <c r="G1962" s="7" t="s">
        <v>1375</v>
      </c>
      <c r="H1962" s="8"/>
    </row>
    <row r="1963" ht="25" customHeight="1" spans="1:8">
      <c r="A1963" s="6">
        <v>1961</v>
      </c>
      <c r="B1963" s="7" t="str">
        <f t="shared" si="470"/>
        <v>103</v>
      </c>
      <c r="C1963" s="7" t="s">
        <v>663</v>
      </c>
      <c r="D1963" s="7" t="s">
        <v>664</v>
      </c>
      <c r="E1963" s="7" t="str">
        <f>"卢彦珍"</f>
        <v>卢彦珍</v>
      </c>
      <c r="F1963" s="7" t="str">
        <f t="shared" si="471"/>
        <v>女</v>
      </c>
      <c r="G1963" s="7" t="s">
        <v>1692</v>
      </c>
      <c r="H1963" s="8"/>
    </row>
    <row r="1964" ht="25" customHeight="1" spans="1:8">
      <c r="A1964" s="6">
        <v>1962</v>
      </c>
      <c r="B1964" s="7" t="str">
        <f t="shared" si="470"/>
        <v>103</v>
      </c>
      <c r="C1964" s="7" t="s">
        <v>663</v>
      </c>
      <c r="D1964" s="7" t="s">
        <v>664</v>
      </c>
      <c r="E1964" s="7" t="str">
        <f>"孙小惠"</f>
        <v>孙小惠</v>
      </c>
      <c r="F1964" s="7" t="str">
        <f t="shared" si="471"/>
        <v>女</v>
      </c>
      <c r="G1964" s="7" t="s">
        <v>1004</v>
      </c>
      <c r="H1964" s="8"/>
    </row>
    <row r="1965" ht="25" customHeight="1" spans="1:8">
      <c r="A1965" s="6">
        <v>1963</v>
      </c>
      <c r="B1965" s="7" t="str">
        <f t="shared" si="470"/>
        <v>103</v>
      </c>
      <c r="C1965" s="7" t="s">
        <v>663</v>
      </c>
      <c r="D1965" s="7" t="s">
        <v>664</v>
      </c>
      <c r="E1965" s="7" t="str">
        <f>"董子莹"</f>
        <v>董子莹</v>
      </c>
      <c r="F1965" s="7" t="str">
        <f t="shared" si="471"/>
        <v>女</v>
      </c>
      <c r="G1965" s="7" t="s">
        <v>710</v>
      </c>
      <c r="H1965" s="8"/>
    </row>
    <row r="1966" ht="25" customHeight="1" spans="1:8">
      <c r="A1966" s="6">
        <v>1964</v>
      </c>
      <c r="B1966" s="7" t="str">
        <f t="shared" si="470"/>
        <v>103</v>
      </c>
      <c r="C1966" s="7" t="s">
        <v>663</v>
      </c>
      <c r="D1966" s="7" t="s">
        <v>664</v>
      </c>
      <c r="E1966" s="7" t="str">
        <f>"谢芙"</f>
        <v>谢芙</v>
      </c>
      <c r="F1966" s="7" t="str">
        <f t="shared" si="471"/>
        <v>女</v>
      </c>
      <c r="G1966" s="7" t="s">
        <v>1693</v>
      </c>
      <c r="H1966" s="8"/>
    </row>
    <row r="1967" ht="25" customHeight="1" spans="1:8">
      <c r="A1967" s="6">
        <v>1965</v>
      </c>
      <c r="B1967" s="7" t="str">
        <f t="shared" si="470"/>
        <v>103</v>
      </c>
      <c r="C1967" s="7" t="s">
        <v>663</v>
      </c>
      <c r="D1967" s="7" t="s">
        <v>664</v>
      </c>
      <c r="E1967" s="7" t="str">
        <f>"王环樱"</f>
        <v>王环樱</v>
      </c>
      <c r="F1967" s="7" t="str">
        <f t="shared" si="471"/>
        <v>女</v>
      </c>
      <c r="G1967" s="7" t="s">
        <v>1174</v>
      </c>
      <c r="H1967" s="8"/>
    </row>
    <row r="1968" ht="25" customHeight="1" spans="1:8">
      <c r="A1968" s="6">
        <v>1966</v>
      </c>
      <c r="B1968" s="7" t="str">
        <f t="shared" si="470"/>
        <v>103</v>
      </c>
      <c r="C1968" s="7" t="s">
        <v>663</v>
      </c>
      <c r="D1968" s="7" t="s">
        <v>664</v>
      </c>
      <c r="E1968" s="7" t="str">
        <f>"谢 妹"</f>
        <v>谢 妹</v>
      </c>
      <c r="F1968" s="7" t="str">
        <f t="shared" si="471"/>
        <v>女</v>
      </c>
      <c r="G1968" s="7" t="s">
        <v>238</v>
      </c>
      <c r="H1968" s="8"/>
    </row>
    <row r="1969" ht="25" customHeight="1" spans="1:8">
      <c r="A1969" s="6">
        <v>1967</v>
      </c>
      <c r="B1969" s="7" t="str">
        <f t="shared" si="470"/>
        <v>103</v>
      </c>
      <c r="C1969" s="7" t="s">
        <v>663</v>
      </c>
      <c r="D1969" s="7" t="s">
        <v>664</v>
      </c>
      <c r="E1969" s="7" t="str">
        <f>"徐光烺"</f>
        <v>徐光烺</v>
      </c>
      <c r="F1969" s="7" t="str">
        <f>"男"</f>
        <v>男</v>
      </c>
      <c r="G1969" s="7" t="s">
        <v>1088</v>
      </c>
      <c r="H1969" s="8"/>
    </row>
    <row r="1970" ht="25" customHeight="1" spans="1:8">
      <c r="A1970" s="6">
        <v>1968</v>
      </c>
      <c r="B1970" s="7" t="str">
        <f t="shared" si="470"/>
        <v>103</v>
      </c>
      <c r="C1970" s="7" t="s">
        <v>663</v>
      </c>
      <c r="D1970" s="7" t="s">
        <v>664</v>
      </c>
      <c r="E1970" s="7" t="str">
        <f>"邓正虹"</f>
        <v>邓正虹</v>
      </c>
      <c r="F1970" s="7" t="str">
        <f t="shared" ref="F1970:F1976" si="472">"女"</f>
        <v>女</v>
      </c>
      <c r="G1970" s="7" t="s">
        <v>1694</v>
      </c>
      <c r="H1970" s="8"/>
    </row>
    <row r="1971" ht="25" customHeight="1" spans="1:8">
      <c r="A1971" s="6">
        <v>1969</v>
      </c>
      <c r="B1971" s="7" t="str">
        <f t="shared" si="470"/>
        <v>103</v>
      </c>
      <c r="C1971" s="7" t="s">
        <v>663</v>
      </c>
      <c r="D1971" s="7" t="s">
        <v>664</v>
      </c>
      <c r="E1971" s="7" t="str">
        <f>"黎雪坤"</f>
        <v>黎雪坤</v>
      </c>
      <c r="F1971" s="7" t="str">
        <f t="shared" si="472"/>
        <v>女</v>
      </c>
      <c r="G1971" s="7" t="s">
        <v>1695</v>
      </c>
      <c r="H1971" s="8"/>
    </row>
    <row r="1972" ht="25" customHeight="1" spans="1:8">
      <c r="A1972" s="6">
        <v>1970</v>
      </c>
      <c r="B1972" s="7" t="str">
        <f t="shared" si="470"/>
        <v>103</v>
      </c>
      <c r="C1972" s="7" t="s">
        <v>663</v>
      </c>
      <c r="D1972" s="7" t="s">
        <v>664</v>
      </c>
      <c r="E1972" s="7" t="str">
        <f>"王彦丁"</f>
        <v>王彦丁</v>
      </c>
      <c r="F1972" s="7" t="str">
        <f t="shared" si="472"/>
        <v>女</v>
      </c>
      <c r="G1972" s="7" t="s">
        <v>1696</v>
      </c>
      <c r="H1972" s="8"/>
    </row>
    <row r="1973" ht="25" customHeight="1" spans="1:8">
      <c r="A1973" s="6">
        <v>1971</v>
      </c>
      <c r="B1973" s="7" t="str">
        <f t="shared" si="470"/>
        <v>103</v>
      </c>
      <c r="C1973" s="7" t="s">
        <v>663</v>
      </c>
      <c r="D1973" s="7" t="s">
        <v>664</v>
      </c>
      <c r="E1973" s="7" t="str">
        <f>"唐丽婷"</f>
        <v>唐丽婷</v>
      </c>
      <c r="F1973" s="7" t="str">
        <f t="shared" si="472"/>
        <v>女</v>
      </c>
      <c r="G1973" s="7" t="s">
        <v>1697</v>
      </c>
      <c r="H1973" s="8"/>
    </row>
    <row r="1974" ht="25" customHeight="1" spans="1:8">
      <c r="A1974" s="6">
        <v>1972</v>
      </c>
      <c r="B1974" s="7" t="str">
        <f t="shared" si="470"/>
        <v>103</v>
      </c>
      <c r="C1974" s="7" t="s">
        <v>663</v>
      </c>
      <c r="D1974" s="7" t="s">
        <v>664</v>
      </c>
      <c r="E1974" s="7" t="str">
        <f>"林欣欣"</f>
        <v>林欣欣</v>
      </c>
      <c r="F1974" s="7" t="str">
        <f t="shared" si="472"/>
        <v>女</v>
      </c>
      <c r="G1974" s="7" t="s">
        <v>1698</v>
      </c>
      <c r="H1974" s="8"/>
    </row>
    <row r="1975" ht="25" customHeight="1" spans="1:8">
      <c r="A1975" s="6">
        <v>1973</v>
      </c>
      <c r="B1975" s="7" t="str">
        <f t="shared" si="470"/>
        <v>103</v>
      </c>
      <c r="C1975" s="7" t="s">
        <v>663</v>
      </c>
      <c r="D1975" s="7" t="s">
        <v>664</v>
      </c>
      <c r="E1975" s="7" t="str">
        <f>"白宇琪"</f>
        <v>白宇琪</v>
      </c>
      <c r="F1975" s="7" t="str">
        <f t="shared" si="472"/>
        <v>女</v>
      </c>
      <c r="G1975" s="7" t="s">
        <v>1699</v>
      </c>
      <c r="H1975" s="8"/>
    </row>
    <row r="1976" ht="25" customHeight="1" spans="1:8">
      <c r="A1976" s="6">
        <v>1974</v>
      </c>
      <c r="B1976" s="7" t="str">
        <f t="shared" si="470"/>
        <v>103</v>
      </c>
      <c r="C1976" s="7" t="s">
        <v>663</v>
      </c>
      <c r="D1976" s="7" t="s">
        <v>664</v>
      </c>
      <c r="E1976" s="7" t="str">
        <f>"陈丽倩"</f>
        <v>陈丽倩</v>
      </c>
      <c r="F1976" s="7" t="str">
        <f t="shared" si="472"/>
        <v>女</v>
      </c>
      <c r="G1976" s="7" t="s">
        <v>439</v>
      </c>
      <c r="H1976" s="8"/>
    </row>
    <row r="1977" ht="25" customHeight="1" spans="1:8">
      <c r="A1977" s="6">
        <v>1975</v>
      </c>
      <c r="B1977" s="7" t="str">
        <f t="shared" si="470"/>
        <v>103</v>
      </c>
      <c r="C1977" s="7" t="s">
        <v>663</v>
      </c>
      <c r="D1977" s="7" t="s">
        <v>664</v>
      </c>
      <c r="E1977" s="7" t="str">
        <f>"廖竞雄"</f>
        <v>廖竞雄</v>
      </c>
      <c r="F1977" s="7" t="str">
        <f t="shared" ref="F1977:F1980" si="473">"男"</f>
        <v>男</v>
      </c>
      <c r="G1977" s="7" t="s">
        <v>1700</v>
      </c>
      <c r="H1977" s="8"/>
    </row>
    <row r="1978" ht="25" customHeight="1" spans="1:8">
      <c r="A1978" s="6">
        <v>1976</v>
      </c>
      <c r="B1978" s="7" t="str">
        <f t="shared" si="470"/>
        <v>103</v>
      </c>
      <c r="C1978" s="7" t="s">
        <v>663</v>
      </c>
      <c r="D1978" s="7" t="s">
        <v>664</v>
      </c>
      <c r="E1978" s="7" t="str">
        <f>"周维凯"</f>
        <v>周维凯</v>
      </c>
      <c r="F1978" s="7" t="str">
        <f t="shared" si="473"/>
        <v>男</v>
      </c>
      <c r="G1978" s="7" t="s">
        <v>862</v>
      </c>
      <c r="H1978" s="8"/>
    </row>
    <row r="1979" ht="25" customHeight="1" spans="1:8">
      <c r="A1979" s="6">
        <v>1977</v>
      </c>
      <c r="B1979" s="7" t="str">
        <f t="shared" si="470"/>
        <v>103</v>
      </c>
      <c r="C1979" s="7" t="s">
        <v>663</v>
      </c>
      <c r="D1979" s="7" t="s">
        <v>664</v>
      </c>
      <c r="E1979" s="7" t="str">
        <f>"毕海鑫"</f>
        <v>毕海鑫</v>
      </c>
      <c r="F1979" s="7" t="str">
        <f t="shared" si="473"/>
        <v>男</v>
      </c>
      <c r="G1979" s="7" t="s">
        <v>1701</v>
      </c>
      <c r="H1979" s="8"/>
    </row>
    <row r="1980" ht="25" customHeight="1" spans="1:8">
      <c r="A1980" s="6">
        <v>1978</v>
      </c>
      <c r="B1980" s="7" t="str">
        <f t="shared" si="470"/>
        <v>103</v>
      </c>
      <c r="C1980" s="7" t="s">
        <v>663</v>
      </c>
      <c r="D1980" s="7" t="s">
        <v>664</v>
      </c>
      <c r="E1980" s="7" t="str">
        <f>"李超"</f>
        <v>李超</v>
      </c>
      <c r="F1980" s="7" t="str">
        <f t="shared" si="473"/>
        <v>男</v>
      </c>
      <c r="G1980" s="7" t="s">
        <v>1702</v>
      </c>
      <c r="H1980" s="8"/>
    </row>
    <row r="1981" ht="25" customHeight="1" spans="1:8">
      <c r="A1981" s="6">
        <v>1979</v>
      </c>
      <c r="B1981" s="7" t="str">
        <f t="shared" si="470"/>
        <v>103</v>
      </c>
      <c r="C1981" s="7" t="s">
        <v>663</v>
      </c>
      <c r="D1981" s="7" t="s">
        <v>664</v>
      </c>
      <c r="E1981" s="7" t="str">
        <f>"王士芳"</f>
        <v>王士芳</v>
      </c>
      <c r="F1981" s="7" t="str">
        <f t="shared" ref="F1981:F1984" si="474">"女"</f>
        <v>女</v>
      </c>
      <c r="G1981" s="7" t="s">
        <v>1268</v>
      </c>
      <c r="H1981" s="8"/>
    </row>
    <row r="1982" ht="25" customHeight="1" spans="1:8">
      <c r="A1982" s="6">
        <v>1980</v>
      </c>
      <c r="B1982" s="7" t="str">
        <f t="shared" si="470"/>
        <v>103</v>
      </c>
      <c r="C1982" s="7" t="s">
        <v>663</v>
      </c>
      <c r="D1982" s="7" t="s">
        <v>664</v>
      </c>
      <c r="E1982" s="7" t="str">
        <f>"杜代禄"</f>
        <v>杜代禄</v>
      </c>
      <c r="F1982" s="7" t="str">
        <f t="shared" ref="F1982:F1987" si="475">"男"</f>
        <v>男</v>
      </c>
      <c r="G1982" s="7" t="s">
        <v>1703</v>
      </c>
      <c r="H1982" s="8"/>
    </row>
    <row r="1983" ht="25" customHeight="1" spans="1:8">
      <c r="A1983" s="6">
        <v>1981</v>
      </c>
      <c r="B1983" s="7" t="str">
        <f t="shared" si="470"/>
        <v>103</v>
      </c>
      <c r="C1983" s="7" t="s">
        <v>663</v>
      </c>
      <c r="D1983" s="7" t="s">
        <v>664</v>
      </c>
      <c r="E1983" s="7" t="str">
        <f>"吕芬芬"</f>
        <v>吕芬芬</v>
      </c>
      <c r="F1983" s="7" t="str">
        <f t="shared" si="474"/>
        <v>女</v>
      </c>
      <c r="G1983" s="7" t="s">
        <v>1704</v>
      </c>
      <c r="H1983" s="8"/>
    </row>
    <row r="1984" ht="25" customHeight="1" spans="1:8">
      <c r="A1984" s="6">
        <v>1982</v>
      </c>
      <c r="B1984" s="7" t="str">
        <f t="shared" si="470"/>
        <v>103</v>
      </c>
      <c r="C1984" s="7" t="s">
        <v>663</v>
      </c>
      <c r="D1984" s="7" t="s">
        <v>664</v>
      </c>
      <c r="E1984" s="7" t="str">
        <f>"孙转舅"</f>
        <v>孙转舅</v>
      </c>
      <c r="F1984" s="7" t="str">
        <f t="shared" si="474"/>
        <v>女</v>
      </c>
      <c r="G1984" s="7" t="s">
        <v>371</v>
      </c>
      <c r="H1984" s="8"/>
    </row>
    <row r="1985" ht="25" customHeight="1" spans="1:8">
      <c r="A1985" s="6">
        <v>1983</v>
      </c>
      <c r="B1985" s="7" t="str">
        <f t="shared" si="470"/>
        <v>103</v>
      </c>
      <c r="C1985" s="7" t="s">
        <v>663</v>
      </c>
      <c r="D1985" s="7" t="s">
        <v>664</v>
      </c>
      <c r="E1985" s="7" t="str">
        <f>"蔡泽宁"</f>
        <v>蔡泽宁</v>
      </c>
      <c r="F1985" s="7" t="str">
        <f t="shared" si="475"/>
        <v>男</v>
      </c>
      <c r="G1985" s="7" t="s">
        <v>1705</v>
      </c>
      <c r="H1985" s="8"/>
    </row>
    <row r="1986" ht="25" customHeight="1" spans="1:8">
      <c r="A1986" s="6">
        <v>1984</v>
      </c>
      <c r="B1986" s="7" t="str">
        <f t="shared" si="470"/>
        <v>103</v>
      </c>
      <c r="C1986" s="7" t="s">
        <v>663</v>
      </c>
      <c r="D1986" s="7" t="s">
        <v>664</v>
      </c>
      <c r="E1986" s="7" t="str">
        <f>"张达"</f>
        <v>张达</v>
      </c>
      <c r="F1986" s="7" t="str">
        <f t="shared" si="475"/>
        <v>男</v>
      </c>
      <c r="G1986" s="7" t="s">
        <v>1706</v>
      </c>
      <c r="H1986" s="8"/>
    </row>
    <row r="1987" ht="25" customHeight="1" spans="1:8">
      <c r="A1987" s="6">
        <v>1985</v>
      </c>
      <c r="B1987" s="7" t="str">
        <f t="shared" si="470"/>
        <v>103</v>
      </c>
      <c r="C1987" s="7" t="s">
        <v>663</v>
      </c>
      <c r="D1987" s="7" t="s">
        <v>664</v>
      </c>
      <c r="E1987" s="7" t="str">
        <f>"吴峰毅"</f>
        <v>吴峰毅</v>
      </c>
      <c r="F1987" s="7" t="str">
        <f t="shared" si="475"/>
        <v>男</v>
      </c>
      <c r="G1987" s="7" t="s">
        <v>1399</v>
      </c>
      <c r="H1987" s="8"/>
    </row>
    <row r="1988" ht="25" customHeight="1" spans="1:8">
      <c r="A1988" s="6">
        <v>1986</v>
      </c>
      <c r="B1988" s="7" t="str">
        <f t="shared" si="470"/>
        <v>103</v>
      </c>
      <c r="C1988" s="7" t="s">
        <v>663</v>
      </c>
      <c r="D1988" s="7" t="s">
        <v>664</v>
      </c>
      <c r="E1988" s="7" t="str">
        <f>"洪雯希"</f>
        <v>洪雯希</v>
      </c>
      <c r="F1988" s="7" t="str">
        <f t="shared" ref="F1988:F1991" si="476">"女"</f>
        <v>女</v>
      </c>
      <c r="G1988" s="7" t="s">
        <v>709</v>
      </c>
      <c r="H1988" s="8"/>
    </row>
    <row r="1989" ht="25" customHeight="1" spans="1:8">
      <c r="A1989" s="6">
        <v>1987</v>
      </c>
      <c r="B1989" s="7" t="str">
        <f t="shared" si="470"/>
        <v>103</v>
      </c>
      <c r="C1989" s="7" t="s">
        <v>663</v>
      </c>
      <c r="D1989" s="7" t="s">
        <v>664</v>
      </c>
      <c r="E1989" s="7" t="str">
        <f>"吴佳佳"</f>
        <v>吴佳佳</v>
      </c>
      <c r="F1989" s="7" t="str">
        <f t="shared" si="476"/>
        <v>女</v>
      </c>
      <c r="G1989" s="7" t="s">
        <v>621</v>
      </c>
      <c r="H1989" s="8"/>
    </row>
    <row r="1990" ht="25" customHeight="1" spans="1:8">
      <c r="A1990" s="6">
        <v>1988</v>
      </c>
      <c r="B1990" s="7" t="str">
        <f t="shared" si="470"/>
        <v>103</v>
      </c>
      <c r="C1990" s="7" t="s">
        <v>663</v>
      </c>
      <c r="D1990" s="7" t="s">
        <v>664</v>
      </c>
      <c r="E1990" s="7" t="str">
        <f>"王静"</f>
        <v>王静</v>
      </c>
      <c r="F1990" s="7" t="str">
        <f t="shared" si="476"/>
        <v>女</v>
      </c>
      <c r="G1990" s="7" t="s">
        <v>1707</v>
      </c>
      <c r="H1990" s="8"/>
    </row>
    <row r="1991" ht="25" customHeight="1" spans="1:8">
      <c r="A1991" s="6">
        <v>1989</v>
      </c>
      <c r="B1991" s="7" t="str">
        <f t="shared" si="470"/>
        <v>103</v>
      </c>
      <c r="C1991" s="7" t="s">
        <v>663</v>
      </c>
      <c r="D1991" s="7" t="s">
        <v>664</v>
      </c>
      <c r="E1991" s="7" t="str">
        <f>"周永钰"</f>
        <v>周永钰</v>
      </c>
      <c r="F1991" s="7" t="str">
        <f t="shared" si="476"/>
        <v>女</v>
      </c>
      <c r="G1991" s="7" t="s">
        <v>1708</v>
      </c>
      <c r="H1991" s="8"/>
    </row>
    <row r="1992" ht="25" customHeight="1" spans="1:8">
      <c r="A1992" s="6">
        <v>1990</v>
      </c>
      <c r="B1992" s="7" t="str">
        <f t="shared" si="470"/>
        <v>103</v>
      </c>
      <c r="C1992" s="7" t="s">
        <v>663</v>
      </c>
      <c r="D1992" s="7" t="s">
        <v>664</v>
      </c>
      <c r="E1992" s="7" t="str">
        <f>"王本鹏"</f>
        <v>王本鹏</v>
      </c>
      <c r="F1992" s="7" t="str">
        <f t="shared" ref="F1992:F1997" si="477">"男"</f>
        <v>男</v>
      </c>
      <c r="G1992" s="7" t="s">
        <v>1709</v>
      </c>
      <c r="H1992" s="8"/>
    </row>
    <row r="1993" ht="25" customHeight="1" spans="1:8">
      <c r="A1993" s="6">
        <v>1991</v>
      </c>
      <c r="B1993" s="7" t="str">
        <f t="shared" si="470"/>
        <v>103</v>
      </c>
      <c r="C1993" s="7" t="s">
        <v>663</v>
      </c>
      <c r="D1993" s="7" t="s">
        <v>664</v>
      </c>
      <c r="E1993" s="7" t="str">
        <f>"张宏森"</f>
        <v>张宏森</v>
      </c>
      <c r="F1993" s="7" t="str">
        <f t="shared" si="477"/>
        <v>男</v>
      </c>
      <c r="G1993" s="7" t="s">
        <v>1710</v>
      </c>
      <c r="H1993" s="8"/>
    </row>
    <row r="1994" ht="25" customHeight="1" spans="1:8">
      <c r="A1994" s="6">
        <v>1992</v>
      </c>
      <c r="B1994" s="7" t="str">
        <f t="shared" si="470"/>
        <v>103</v>
      </c>
      <c r="C1994" s="7" t="s">
        <v>663</v>
      </c>
      <c r="D1994" s="7" t="s">
        <v>664</v>
      </c>
      <c r="E1994" s="7" t="str">
        <f>"何舜萍"</f>
        <v>何舜萍</v>
      </c>
      <c r="F1994" s="7" t="str">
        <f t="shared" ref="F1994:F1996" si="478">"女"</f>
        <v>女</v>
      </c>
      <c r="G1994" s="7" t="s">
        <v>1711</v>
      </c>
      <c r="H1994" s="8"/>
    </row>
    <row r="1995" ht="25" customHeight="1" spans="1:8">
      <c r="A1995" s="6">
        <v>1993</v>
      </c>
      <c r="B1995" s="7" t="str">
        <f t="shared" si="470"/>
        <v>103</v>
      </c>
      <c r="C1995" s="7" t="s">
        <v>663</v>
      </c>
      <c r="D1995" s="7" t="s">
        <v>664</v>
      </c>
      <c r="E1995" s="7" t="str">
        <f>"李小菲"</f>
        <v>李小菲</v>
      </c>
      <c r="F1995" s="7" t="str">
        <f t="shared" si="478"/>
        <v>女</v>
      </c>
      <c r="G1995" s="7" t="s">
        <v>990</v>
      </c>
      <c r="H1995" s="8"/>
    </row>
    <row r="1996" ht="25" customHeight="1" spans="1:8">
      <c r="A1996" s="6">
        <v>1994</v>
      </c>
      <c r="B1996" s="7" t="str">
        <f t="shared" si="470"/>
        <v>103</v>
      </c>
      <c r="C1996" s="7" t="s">
        <v>663</v>
      </c>
      <c r="D1996" s="7" t="s">
        <v>664</v>
      </c>
      <c r="E1996" s="7" t="str">
        <f>"林芳娃"</f>
        <v>林芳娃</v>
      </c>
      <c r="F1996" s="7" t="str">
        <f t="shared" si="478"/>
        <v>女</v>
      </c>
      <c r="G1996" s="7" t="s">
        <v>1712</v>
      </c>
      <c r="H1996" s="8"/>
    </row>
    <row r="1997" ht="25" customHeight="1" spans="1:8">
      <c r="A1997" s="6">
        <v>1995</v>
      </c>
      <c r="B1997" s="7" t="str">
        <f t="shared" si="470"/>
        <v>103</v>
      </c>
      <c r="C1997" s="7" t="s">
        <v>663</v>
      </c>
      <c r="D1997" s="7" t="s">
        <v>664</v>
      </c>
      <c r="E1997" s="7" t="str">
        <f>"郑博麒"</f>
        <v>郑博麒</v>
      </c>
      <c r="F1997" s="7" t="str">
        <f t="shared" si="477"/>
        <v>男</v>
      </c>
      <c r="G1997" s="7" t="s">
        <v>1713</v>
      </c>
      <c r="H1997" s="8"/>
    </row>
    <row r="1998" ht="25" customHeight="1" spans="1:8">
      <c r="A1998" s="6">
        <v>1996</v>
      </c>
      <c r="B1998" s="7" t="str">
        <f t="shared" si="470"/>
        <v>103</v>
      </c>
      <c r="C1998" s="7" t="s">
        <v>663</v>
      </c>
      <c r="D1998" s="7" t="s">
        <v>664</v>
      </c>
      <c r="E1998" s="7" t="str">
        <f>"谢盈盈"</f>
        <v>谢盈盈</v>
      </c>
      <c r="F1998" s="7" t="str">
        <f t="shared" ref="F1998:F2003" si="479">"女"</f>
        <v>女</v>
      </c>
      <c r="G1998" s="7" t="s">
        <v>1714</v>
      </c>
      <c r="H1998" s="8"/>
    </row>
    <row r="1999" ht="25" customHeight="1" spans="1:8">
      <c r="A1999" s="6">
        <v>1997</v>
      </c>
      <c r="B1999" s="7" t="str">
        <f t="shared" si="470"/>
        <v>103</v>
      </c>
      <c r="C1999" s="7" t="s">
        <v>663</v>
      </c>
      <c r="D1999" s="7" t="s">
        <v>664</v>
      </c>
      <c r="E1999" s="7" t="str">
        <f>"李家乐"</f>
        <v>李家乐</v>
      </c>
      <c r="F1999" s="7" t="str">
        <f>"男"</f>
        <v>男</v>
      </c>
      <c r="G1999" s="7" t="s">
        <v>1715</v>
      </c>
      <c r="H1999" s="8"/>
    </row>
    <row r="2000" ht="25" customHeight="1" spans="1:8">
      <c r="A2000" s="6">
        <v>1998</v>
      </c>
      <c r="B2000" s="7" t="str">
        <f t="shared" si="470"/>
        <v>103</v>
      </c>
      <c r="C2000" s="7" t="s">
        <v>663</v>
      </c>
      <c r="D2000" s="7" t="s">
        <v>664</v>
      </c>
      <c r="E2000" s="7" t="str">
        <f>"冯静"</f>
        <v>冯静</v>
      </c>
      <c r="F2000" s="7" t="str">
        <f t="shared" si="479"/>
        <v>女</v>
      </c>
      <c r="G2000" s="7" t="s">
        <v>660</v>
      </c>
      <c r="H2000" s="8"/>
    </row>
    <row r="2001" ht="25" customHeight="1" spans="1:8">
      <c r="A2001" s="6">
        <v>1999</v>
      </c>
      <c r="B2001" s="7" t="str">
        <f t="shared" si="470"/>
        <v>103</v>
      </c>
      <c r="C2001" s="7" t="s">
        <v>663</v>
      </c>
      <c r="D2001" s="7" t="s">
        <v>664</v>
      </c>
      <c r="E2001" s="7" t="str">
        <f>"邓雨悦"</f>
        <v>邓雨悦</v>
      </c>
      <c r="F2001" s="7" t="str">
        <f t="shared" si="479"/>
        <v>女</v>
      </c>
      <c r="G2001" s="7" t="s">
        <v>1716</v>
      </c>
      <c r="H2001" s="8"/>
    </row>
    <row r="2002" ht="25" customHeight="1" spans="1:8">
      <c r="A2002" s="6">
        <v>2000</v>
      </c>
      <c r="B2002" s="7" t="str">
        <f t="shared" si="470"/>
        <v>103</v>
      </c>
      <c r="C2002" s="7" t="s">
        <v>663</v>
      </c>
      <c r="D2002" s="7" t="s">
        <v>664</v>
      </c>
      <c r="E2002" s="7" t="str">
        <f>"李中丽"</f>
        <v>李中丽</v>
      </c>
      <c r="F2002" s="7" t="str">
        <f t="shared" si="479"/>
        <v>女</v>
      </c>
      <c r="G2002" s="7" t="s">
        <v>1717</v>
      </c>
      <c r="H2002" s="8"/>
    </row>
    <row r="2003" ht="25" customHeight="1" spans="1:8">
      <c r="A2003" s="6">
        <v>2001</v>
      </c>
      <c r="B2003" s="7" t="str">
        <f t="shared" si="470"/>
        <v>103</v>
      </c>
      <c r="C2003" s="7" t="s">
        <v>663</v>
      </c>
      <c r="D2003" s="7" t="s">
        <v>664</v>
      </c>
      <c r="E2003" s="7" t="str">
        <f>"邵敏"</f>
        <v>邵敏</v>
      </c>
      <c r="F2003" s="7" t="str">
        <f t="shared" si="479"/>
        <v>女</v>
      </c>
      <c r="G2003" s="7" t="s">
        <v>1718</v>
      </c>
      <c r="H2003" s="8"/>
    </row>
    <row r="2004" ht="25" customHeight="1" spans="1:8">
      <c r="A2004" s="6">
        <v>2002</v>
      </c>
      <c r="B2004" s="7" t="str">
        <f t="shared" si="470"/>
        <v>103</v>
      </c>
      <c r="C2004" s="7" t="s">
        <v>663</v>
      </c>
      <c r="D2004" s="7" t="s">
        <v>664</v>
      </c>
      <c r="E2004" s="7" t="str">
        <f>"符振川"</f>
        <v>符振川</v>
      </c>
      <c r="F2004" s="7" t="str">
        <f t="shared" ref="F2004:F2006" si="480">"男"</f>
        <v>男</v>
      </c>
      <c r="G2004" s="7" t="s">
        <v>1719</v>
      </c>
      <c r="H2004" s="8"/>
    </row>
    <row r="2005" ht="25" customHeight="1" spans="1:8">
      <c r="A2005" s="6">
        <v>2003</v>
      </c>
      <c r="B2005" s="7" t="str">
        <f t="shared" si="470"/>
        <v>103</v>
      </c>
      <c r="C2005" s="7" t="s">
        <v>663</v>
      </c>
      <c r="D2005" s="7" t="s">
        <v>664</v>
      </c>
      <c r="E2005" s="7" t="str">
        <f>"刘祖振"</f>
        <v>刘祖振</v>
      </c>
      <c r="F2005" s="7" t="str">
        <f t="shared" si="480"/>
        <v>男</v>
      </c>
      <c r="G2005" s="7" t="s">
        <v>592</v>
      </c>
      <c r="H2005" s="8"/>
    </row>
    <row r="2006" ht="25" customHeight="1" spans="1:8">
      <c r="A2006" s="6">
        <v>2004</v>
      </c>
      <c r="B2006" s="7" t="str">
        <f t="shared" si="470"/>
        <v>103</v>
      </c>
      <c r="C2006" s="7" t="s">
        <v>663</v>
      </c>
      <c r="D2006" s="7" t="s">
        <v>664</v>
      </c>
      <c r="E2006" s="7" t="str">
        <f>"黄钦鹏"</f>
        <v>黄钦鹏</v>
      </c>
      <c r="F2006" s="7" t="str">
        <f t="shared" si="480"/>
        <v>男</v>
      </c>
      <c r="G2006" s="7" t="s">
        <v>1077</v>
      </c>
      <c r="H2006" s="8"/>
    </row>
    <row r="2007" ht="25" customHeight="1" spans="1:8">
      <c r="A2007" s="6">
        <v>2005</v>
      </c>
      <c r="B2007" s="7" t="str">
        <f t="shared" si="470"/>
        <v>103</v>
      </c>
      <c r="C2007" s="7" t="s">
        <v>663</v>
      </c>
      <c r="D2007" s="7" t="s">
        <v>664</v>
      </c>
      <c r="E2007" s="7" t="str">
        <f>"冯萍"</f>
        <v>冯萍</v>
      </c>
      <c r="F2007" s="7" t="str">
        <f t="shared" ref="F2007:F2010" si="481">"女"</f>
        <v>女</v>
      </c>
      <c r="G2007" s="7" t="s">
        <v>434</v>
      </c>
      <c r="H2007" s="8"/>
    </row>
    <row r="2008" ht="25" customHeight="1" spans="1:8">
      <c r="A2008" s="6">
        <v>2006</v>
      </c>
      <c r="B2008" s="7" t="str">
        <f t="shared" si="470"/>
        <v>103</v>
      </c>
      <c r="C2008" s="7" t="s">
        <v>663</v>
      </c>
      <c r="D2008" s="7" t="s">
        <v>664</v>
      </c>
      <c r="E2008" s="7" t="str">
        <f>"张怡芳"</f>
        <v>张怡芳</v>
      </c>
      <c r="F2008" s="7" t="str">
        <f t="shared" si="481"/>
        <v>女</v>
      </c>
      <c r="G2008" s="7" t="s">
        <v>1720</v>
      </c>
      <c r="H2008" s="8"/>
    </row>
    <row r="2009" ht="25" customHeight="1" spans="1:8">
      <c r="A2009" s="6">
        <v>2007</v>
      </c>
      <c r="B2009" s="7" t="str">
        <f t="shared" si="470"/>
        <v>103</v>
      </c>
      <c r="C2009" s="7" t="s">
        <v>663</v>
      </c>
      <c r="D2009" s="7" t="s">
        <v>664</v>
      </c>
      <c r="E2009" s="7" t="str">
        <f>"甫煜"</f>
        <v>甫煜</v>
      </c>
      <c r="F2009" s="7" t="str">
        <f t="shared" ref="F2009:F2012" si="482">"男"</f>
        <v>男</v>
      </c>
      <c r="G2009" s="7" t="s">
        <v>1721</v>
      </c>
      <c r="H2009" s="8"/>
    </row>
    <row r="2010" ht="25" customHeight="1" spans="1:8">
      <c r="A2010" s="6">
        <v>2008</v>
      </c>
      <c r="B2010" s="7" t="str">
        <f t="shared" si="470"/>
        <v>103</v>
      </c>
      <c r="C2010" s="7" t="s">
        <v>663</v>
      </c>
      <c r="D2010" s="7" t="s">
        <v>664</v>
      </c>
      <c r="E2010" s="7" t="str">
        <f>"黄茜茜"</f>
        <v>黄茜茜</v>
      </c>
      <c r="F2010" s="7" t="str">
        <f t="shared" si="481"/>
        <v>女</v>
      </c>
      <c r="G2010" s="7" t="s">
        <v>683</v>
      </c>
      <c r="H2010" s="8"/>
    </row>
    <row r="2011" ht="25" customHeight="1" spans="1:8">
      <c r="A2011" s="6">
        <v>2009</v>
      </c>
      <c r="B2011" s="7" t="str">
        <f t="shared" si="470"/>
        <v>103</v>
      </c>
      <c r="C2011" s="7" t="s">
        <v>663</v>
      </c>
      <c r="D2011" s="7" t="s">
        <v>664</v>
      </c>
      <c r="E2011" s="7" t="str">
        <f>"符芳浩"</f>
        <v>符芳浩</v>
      </c>
      <c r="F2011" s="7" t="str">
        <f t="shared" si="482"/>
        <v>男</v>
      </c>
      <c r="G2011" s="7" t="s">
        <v>1722</v>
      </c>
      <c r="H2011" s="8"/>
    </row>
    <row r="2012" ht="25" customHeight="1" spans="1:8">
      <c r="A2012" s="6">
        <v>2010</v>
      </c>
      <c r="B2012" s="7" t="str">
        <f t="shared" si="470"/>
        <v>103</v>
      </c>
      <c r="C2012" s="7" t="s">
        <v>663</v>
      </c>
      <c r="D2012" s="7" t="s">
        <v>664</v>
      </c>
      <c r="E2012" s="7" t="str">
        <f>"安梓豪"</f>
        <v>安梓豪</v>
      </c>
      <c r="F2012" s="7" t="str">
        <f t="shared" si="482"/>
        <v>男</v>
      </c>
      <c r="G2012" s="7" t="s">
        <v>1723</v>
      </c>
      <c r="H2012" s="8"/>
    </row>
    <row r="2013" ht="25" customHeight="1" spans="1:8">
      <c r="A2013" s="6">
        <v>2011</v>
      </c>
      <c r="B2013" s="7" t="str">
        <f t="shared" si="470"/>
        <v>103</v>
      </c>
      <c r="C2013" s="7" t="s">
        <v>663</v>
      </c>
      <c r="D2013" s="7" t="s">
        <v>664</v>
      </c>
      <c r="E2013" s="7" t="str">
        <f>"林璋月"</f>
        <v>林璋月</v>
      </c>
      <c r="F2013" s="7" t="str">
        <f>"女"</f>
        <v>女</v>
      </c>
      <c r="G2013" s="7" t="s">
        <v>1433</v>
      </c>
      <c r="H2013" s="8"/>
    </row>
    <row r="2014" ht="25" customHeight="1" spans="1:8">
      <c r="A2014" s="6">
        <v>2012</v>
      </c>
      <c r="B2014" s="7" t="str">
        <f t="shared" si="470"/>
        <v>103</v>
      </c>
      <c r="C2014" s="7" t="s">
        <v>663</v>
      </c>
      <c r="D2014" s="7" t="s">
        <v>664</v>
      </c>
      <c r="E2014" s="7" t="str">
        <f>"梁文"</f>
        <v>梁文</v>
      </c>
      <c r="F2014" s="7" t="str">
        <f t="shared" ref="F2014:F2017" si="483">"男"</f>
        <v>男</v>
      </c>
      <c r="G2014" s="7" t="s">
        <v>1724</v>
      </c>
      <c r="H2014" s="8"/>
    </row>
    <row r="2015" ht="25" customHeight="1" spans="1:8">
      <c r="A2015" s="6">
        <v>2013</v>
      </c>
      <c r="B2015" s="7" t="str">
        <f t="shared" si="470"/>
        <v>103</v>
      </c>
      <c r="C2015" s="7" t="s">
        <v>663</v>
      </c>
      <c r="D2015" s="7" t="s">
        <v>664</v>
      </c>
      <c r="E2015" s="7" t="str">
        <f>"吴李保"</f>
        <v>吴李保</v>
      </c>
      <c r="F2015" s="7" t="str">
        <f t="shared" si="483"/>
        <v>男</v>
      </c>
      <c r="G2015" s="7" t="s">
        <v>305</v>
      </c>
      <c r="H2015" s="8"/>
    </row>
    <row r="2016" ht="25" customHeight="1" spans="1:8">
      <c r="A2016" s="6">
        <v>2014</v>
      </c>
      <c r="B2016" s="7" t="str">
        <f t="shared" si="470"/>
        <v>103</v>
      </c>
      <c r="C2016" s="7" t="s">
        <v>663</v>
      </c>
      <c r="D2016" s="7" t="s">
        <v>664</v>
      </c>
      <c r="E2016" s="7" t="str">
        <f>"杨铭"</f>
        <v>杨铭</v>
      </c>
      <c r="F2016" s="7" t="str">
        <f t="shared" si="483"/>
        <v>男</v>
      </c>
      <c r="G2016" s="7" t="s">
        <v>1725</v>
      </c>
      <c r="H2016" s="8"/>
    </row>
    <row r="2017" ht="25" customHeight="1" spans="1:8">
      <c r="A2017" s="6">
        <v>2015</v>
      </c>
      <c r="B2017" s="7" t="str">
        <f t="shared" si="470"/>
        <v>103</v>
      </c>
      <c r="C2017" s="7" t="s">
        <v>663</v>
      </c>
      <c r="D2017" s="7" t="s">
        <v>664</v>
      </c>
      <c r="E2017" s="7" t="str">
        <f>"林松"</f>
        <v>林松</v>
      </c>
      <c r="F2017" s="7" t="str">
        <f t="shared" si="483"/>
        <v>男</v>
      </c>
      <c r="G2017" s="7" t="s">
        <v>1353</v>
      </c>
      <c r="H2017" s="8"/>
    </row>
    <row r="2018" ht="25" customHeight="1" spans="1:8">
      <c r="A2018" s="6">
        <v>2016</v>
      </c>
      <c r="B2018" s="7" t="str">
        <f t="shared" si="470"/>
        <v>103</v>
      </c>
      <c r="C2018" s="7" t="s">
        <v>663</v>
      </c>
      <c r="D2018" s="7" t="s">
        <v>664</v>
      </c>
      <c r="E2018" s="7" t="str">
        <f>"李小静"</f>
        <v>李小静</v>
      </c>
      <c r="F2018" s="7" t="str">
        <f t="shared" ref="F2018:F2025" si="484">"女"</f>
        <v>女</v>
      </c>
      <c r="G2018" s="7" t="s">
        <v>1726</v>
      </c>
      <c r="H2018" s="8"/>
    </row>
    <row r="2019" ht="25" customHeight="1" spans="1:8">
      <c r="A2019" s="6">
        <v>2017</v>
      </c>
      <c r="B2019" s="7" t="str">
        <f t="shared" si="470"/>
        <v>103</v>
      </c>
      <c r="C2019" s="7" t="s">
        <v>663</v>
      </c>
      <c r="D2019" s="7" t="s">
        <v>664</v>
      </c>
      <c r="E2019" s="7" t="str">
        <f>"朱咸威"</f>
        <v>朱咸威</v>
      </c>
      <c r="F2019" s="7" t="str">
        <f>"男"</f>
        <v>男</v>
      </c>
      <c r="G2019" s="7" t="s">
        <v>968</v>
      </c>
      <c r="H2019" s="8"/>
    </row>
    <row r="2020" ht="25" customHeight="1" spans="1:8">
      <c r="A2020" s="6">
        <v>2018</v>
      </c>
      <c r="B2020" s="7" t="str">
        <f t="shared" si="470"/>
        <v>103</v>
      </c>
      <c r="C2020" s="7" t="s">
        <v>663</v>
      </c>
      <c r="D2020" s="7" t="s">
        <v>664</v>
      </c>
      <c r="E2020" s="7" t="str">
        <f>"吴必妹"</f>
        <v>吴必妹</v>
      </c>
      <c r="F2020" s="7" t="str">
        <f t="shared" si="484"/>
        <v>女</v>
      </c>
      <c r="G2020" s="7" t="s">
        <v>1727</v>
      </c>
      <c r="H2020" s="8"/>
    </row>
    <row r="2021" ht="25" customHeight="1" spans="1:8">
      <c r="A2021" s="6">
        <v>2019</v>
      </c>
      <c r="B2021" s="7" t="str">
        <f t="shared" si="470"/>
        <v>103</v>
      </c>
      <c r="C2021" s="7" t="s">
        <v>663</v>
      </c>
      <c r="D2021" s="7" t="s">
        <v>664</v>
      </c>
      <c r="E2021" s="7" t="str">
        <f>"姚泽旋"</f>
        <v>姚泽旋</v>
      </c>
      <c r="F2021" s="7" t="str">
        <f t="shared" si="484"/>
        <v>女</v>
      </c>
      <c r="G2021" s="7" t="s">
        <v>1728</v>
      </c>
      <c r="H2021" s="8"/>
    </row>
    <row r="2022" ht="25" customHeight="1" spans="1:8">
      <c r="A2022" s="6">
        <v>2020</v>
      </c>
      <c r="B2022" s="7" t="str">
        <f t="shared" si="470"/>
        <v>103</v>
      </c>
      <c r="C2022" s="7" t="s">
        <v>663</v>
      </c>
      <c r="D2022" s="7" t="s">
        <v>664</v>
      </c>
      <c r="E2022" s="7" t="str">
        <f>"吴柳新"</f>
        <v>吴柳新</v>
      </c>
      <c r="F2022" s="7" t="str">
        <f t="shared" si="484"/>
        <v>女</v>
      </c>
      <c r="G2022" s="7" t="s">
        <v>1729</v>
      </c>
      <c r="H2022" s="8"/>
    </row>
    <row r="2023" ht="25" customHeight="1" spans="1:8">
      <c r="A2023" s="6">
        <v>2021</v>
      </c>
      <c r="B2023" s="7" t="str">
        <f t="shared" si="470"/>
        <v>103</v>
      </c>
      <c r="C2023" s="7" t="s">
        <v>663</v>
      </c>
      <c r="D2023" s="7" t="s">
        <v>664</v>
      </c>
      <c r="E2023" s="7" t="str">
        <f>"陈凡"</f>
        <v>陈凡</v>
      </c>
      <c r="F2023" s="7" t="str">
        <f t="shared" si="484"/>
        <v>女</v>
      </c>
      <c r="G2023" s="7" t="s">
        <v>76</v>
      </c>
      <c r="H2023" s="8"/>
    </row>
    <row r="2024" ht="25" customHeight="1" spans="1:8">
      <c r="A2024" s="6">
        <v>2022</v>
      </c>
      <c r="B2024" s="7" t="str">
        <f t="shared" ref="B2024:B2087" si="485">"103"</f>
        <v>103</v>
      </c>
      <c r="C2024" s="7" t="s">
        <v>663</v>
      </c>
      <c r="D2024" s="7" t="s">
        <v>664</v>
      </c>
      <c r="E2024" s="7" t="str">
        <f>"姚圣楠"</f>
        <v>姚圣楠</v>
      </c>
      <c r="F2024" s="7" t="str">
        <f t="shared" si="484"/>
        <v>女</v>
      </c>
      <c r="G2024" s="7" t="s">
        <v>1730</v>
      </c>
      <c r="H2024" s="8"/>
    </row>
    <row r="2025" ht="25" customHeight="1" spans="1:8">
      <c r="A2025" s="6">
        <v>2023</v>
      </c>
      <c r="B2025" s="7" t="str">
        <f t="shared" si="485"/>
        <v>103</v>
      </c>
      <c r="C2025" s="7" t="s">
        <v>663</v>
      </c>
      <c r="D2025" s="7" t="s">
        <v>664</v>
      </c>
      <c r="E2025" s="7" t="str">
        <f>"钟仪"</f>
        <v>钟仪</v>
      </c>
      <c r="F2025" s="7" t="str">
        <f t="shared" si="484"/>
        <v>女</v>
      </c>
      <c r="G2025" s="7" t="s">
        <v>1731</v>
      </c>
      <c r="H2025" s="8"/>
    </row>
    <row r="2026" ht="25" customHeight="1" spans="1:8">
      <c r="A2026" s="6">
        <v>2024</v>
      </c>
      <c r="B2026" s="7" t="str">
        <f t="shared" si="485"/>
        <v>103</v>
      </c>
      <c r="C2026" s="7" t="s">
        <v>663</v>
      </c>
      <c r="D2026" s="7" t="s">
        <v>664</v>
      </c>
      <c r="E2026" s="7" t="str">
        <f>"符鹤"</f>
        <v>符鹤</v>
      </c>
      <c r="F2026" s="7" t="str">
        <f>"男"</f>
        <v>男</v>
      </c>
      <c r="G2026" s="7" t="s">
        <v>1732</v>
      </c>
      <c r="H2026" s="8"/>
    </row>
    <row r="2027" ht="25" customHeight="1" spans="1:8">
      <c r="A2027" s="6">
        <v>2025</v>
      </c>
      <c r="B2027" s="7" t="str">
        <f t="shared" si="485"/>
        <v>103</v>
      </c>
      <c r="C2027" s="7" t="s">
        <v>663</v>
      </c>
      <c r="D2027" s="7" t="s">
        <v>664</v>
      </c>
      <c r="E2027" s="7" t="str">
        <f>"王妙然"</f>
        <v>王妙然</v>
      </c>
      <c r="F2027" s="7" t="str">
        <f t="shared" ref="F2027:F2032" si="486">"女"</f>
        <v>女</v>
      </c>
      <c r="G2027" s="7" t="s">
        <v>801</v>
      </c>
      <c r="H2027" s="8"/>
    </row>
    <row r="2028" ht="25" customHeight="1" spans="1:8">
      <c r="A2028" s="6">
        <v>2026</v>
      </c>
      <c r="B2028" s="7" t="str">
        <f t="shared" si="485"/>
        <v>103</v>
      </c>
      <c r="C2028" s="7" t="s">
        <v>663</v>
      </c>
      <c r="D2028" s="7" t="s">
        <v>664</v>
      </c>
      <c r="E2028" s="7" t="str">
        <f>"林先天"</f>
        <v>林先天</v>
      </c>
      <c r="F2028" s="7" t="str">
        <f>"男"</f>
        <v>男</v>
      </c>
      <c r="G2028" s="7" t="s">
        <v>1733</v>
      </c>
      <c r="H2028" s="8"/>
    </row>
    <row r="2029" ht="25" customHeight="1" spans="1:8">
      <c r="A2029" s="6">
        <v>2027</v>
      </c>
      <c r="B2029" s="7" t="str">
        <f t="shared" si="485"/>
        <v>103</v>
      </c>
      <c r="C2029" s="7" t="s">
        <v>663</v>
      </c>
      <c r="D2029" s="7" t="s">
        <v>664</v>
      </c>
      <c r="E2029" s="7" t="str">
        <f>"刘海琼"</f>
        <v>刘海琼</v>
      </c>
      <c r="F2029" s="7" t="str">
        <f t="shared" si="486"/>
        <v>女</v>
      </c>
      <c r="G2029" s="7" t="s">
        <v>1734</v>
      </c>
      <c r="H2029" s="8"/>
    </row>
    <row r="2030" ht="25" customHeight="1" spans="1:8">
      <c r="A2030" s="6">
        <v>2028</v>
      </c>
      <c r="B2030" s="7" t="str">
        <f t="shared" si="485"/>
        <v>103</v>
      </c>
      <c r="C2030" s="7" t="s">
        <v>663</v>
      </c>
      <c r="D2030" s="7" t="s">
        <v>664</v>
      </c>
      <c r="E2030" s="7" t="str">
        <f>"曾渝"</f>
        <v>曾渝</v>
      </c>
      <c r="F2030" s="7" t="str">
        <f t="shared" si="486"/>
        <v>女</v>
      </c>
      <c r="G2030" s="7" t="s">
        <v>1735</v>
      </c>
      <c r="H2030" s="8"/>
    </row>
    <row r="2031" ht="25" customHeight="1" spans="1:8">
      <c r="A2031" s="6">
        <v>2029</v>
      </c>
      <c r="B2031" s="7" t="str">
        <f t="shared" si="485"/>
        <v>103</v>
      </c>
      <c r="C2031" s="7" t="s">
        <v>663</v>
      </c>
      <c r="D2031" s="7" t="s">
        <v>664</v>
      </c>
      <c r="E2031" s="7" t="str">
        <f>"文苏盈"</f>
        <v>文苏盈</v>
      </c>
      <c r="F2031" s="7" t="str">
        <f t="shared" si="486"/>
        <v>女</v>
      </c>
      <c r="G2031" s="7" t="s">
        <v>1736</v>
      </c>
      <c r="H2031" s="8"/>
    </row>
    <row r="2032" ht="25" customHeight="1" spans="1:8">
      <c r="A2032" s="6">
        <v>2030</v>
      </c>
      <c r="B2032" s="7" t="str">
        <f t="shared" si="485"/>
        <v>103</v>
      </c>
      <c r="C2032" s="7" t="s">
        <v>663</v>
      </c>
      <c r="D2032" s="7" t="s">
        <v>664</v>
      </c>
      <c r="E2032" s="7" t="str">
        <f>"张婧楠"</f>
        <v>张婧楠</v>
      </c>
      <c r="F2032" s="7" t="str">
        <f t="shared" si="486"/>
        <v>女</v>
      </c>
      <c r="G2032" s="7" t="s">
        <v>1737</v>
      </c>
      <c r="H2032" s="8"/>
    </row>
    <row r="2033" ht="25" customHeight="1" spans="1:8">
      <c r="A2033" s="6">
        <v>2031</v>
      </c>
      <c r="B2033" s="7" t="str">
        <f t="shared" si="485"/>
        <v>103</v>
      </c>
      <c r="C2033" s="7" t="s">
        <v>663</v>
      </c>
      <c r="D2033" s="7" t="s">
        <v>664</v>
      </c>
      <c r="E2033" s="7" t="str">
        <f>"何源"</f>
        <v>何源</v>
      </c>
      <c r="F2033" s="7" t="str">
        <f>"男"</f>
        <v>男</v>
      </c>
      <c r="G2033" s="7" t="s">
        <v>24</v>
      </c>
      <c r="H2033" s="8"/>
    </row>
    <row r="2034" ht="25" customHeight="1" spans="1:8">
      <c r="A2034" s="6">
        <v>2032</v>
      </c>
      <c r="B2034" s="7" t="str">
        <f t="shared" si="485"/>
        <v>103</v>
      </c>
      <c r="C2034" s="7" t="s">
        <v>663</v>
      </c>
      <c r="D2034" s="7" t="s">
        <v>664</v>
      </c>
      <c r="E2034" s="7" t="str">
        <f>"陈日灿"</f>
        <v>陈日灿</v>
      </c>
      <c r="F2034" s="7" t="str">
        <f>"男"</f>
        <v>男</v>
      </c>
      <c r="G2034" s="7" t="s">
        <v>1738</v>
      </c>
      <c r="H2034" s="8"/>
    </row>
    <row r="2035" ht="25" customHeight="1" spans="1:8">
      <c r="A2035" s="6">
        <v>2033</v>
      </c>
      <c r="B2035" s="7" t="str">
        <f t="shared" si="485"/>
        <v>103</v>
      </c>
      <c r="C2035" s="7" t="s">
        <v>663</v>
      </c>
      <c r="D2035" s="7" t="s">
        <v>664</v>
      </c>
      <c r="E2035" s="7" t="str">
        <f>"杜嘉滢"</f>
        <v>杜嘉滢</v>
      </c>
      <c r="F2035" s="7" t="str">
        <f t="shared" ref="F2035:F2040" si="487">"女"</f>
        <v>女</v>
      </c>
      <c r="G2035" s="7" t="s">
        <v>1739</v>
      </c>
      <c r="H2035" s="8"/>
    </row>
    <row r="2036" ht="25" customHeight="1" spans="1:8">
      <c r="A2036" s="6">
        <v>2034</v>
      </c>
      <c r="B2036" s="7" t="str">
        <f t="shared" si="485"/>
        <v>103</v>
      </c>
      <c r="C2036" s="7" t="s">
        <v>663</v>
      </c>
      <c r="D2036" s="7" t="s">
        <v>664</v>
      </c>
      <c r="E2036" s="7" t="str">
        <f>"王冬雪"</f>
        <v>王冬雪</v>
      </c>
      <c r="F2036" s="7" t="str">
        <f t="shared" si="487"/>
        <v>女</v>
      </c>
      <c r="G2036" s="7" t="s">
        <v>383</v>
      </c>
      <c r="H2036" s="8"/>
    </row>
    <row r="2037" ht="25" customHeight="1" spans="1:8">
      <c r="A2037" s="6">
        <v>2035</v>
      </c>
      <c r="B2037" s="7" t="str">
        <f t="shared" si="485"/>
        <v>103</v>
      </c>
      <c r="C2037" s="7" t="s">
        <v>663</v>
      </c>
      <c r="D2037" s="7" t="s">
        <v>664</v>
      </c>
      <c r="E2037" s="7" t="str">
        <f>"丁莉莉"</f>
        <v>丁莉莉</v>
      </c>
      <c r="F2037" s="7" t="str">
        <f t="shared" si="487"/>
        <v>女</v>
      </c>
      <c r="G2037" s="7" t="s">
        <v>1740</v>
      </c>
      <c r="H2037" s="8"/>
    </row>
    <row r="2038" ht="25" customHeight="1" spans="1:8">
      <c r="A2038" s="6">
        <v>2036</v>
      </c>
      <c r="B2038" s="7" t="str">
        <f t="shared" si="485"/>
        <v>103</v>
      </c>
      <c r="C2038" s="7" t="s">
        <v>663</v>
      </c>
      <c r="D2038" s="7" t="s">
        <v>664</v>
      </c>
      <c r="E2038" s="7" t="str">
        <f>"刘力嘉"</f>
        <v>刘力嘉</v>
      </c>
      <c r="F2038" s="7" t="str">
        <f t="shared" si="487"/>
        <v>女</v>
      </c>
      <c r="G2038" s="7" t="s">
        <v>1741</v>
      </c>
      <c r="H2038" s="8"/>
    </row>
    <row r="2039" ht="25" customHeight="1" spans="1:8">
      <c r="A2039" s="6">
        <v>2037</v>
      </c>
      <c r="B2039" s="7" t="str">
        <f t="shared" si="485"/>
        <v>103</v>
      </c>
      <c r="C2039" s="7" t="s">
        <v>663</v>
      </c>
      <c r="D2039" s="7" t="s">
        <v>664</v>
      </c>
      <c r="E2039" s="7" t="str">
        <f>"陈妍霓"</f>
        <v>陈妍霓</v>
      </c>
      <c r="F2039" s="7" t="str">
        <f t="shared" si="487"/>
        <v>女</v>
      </c>
      <c r="G2039" s="7" t="s">
        <v>1742</v>
      </c>
      <c r="H2039" s="8"/>
    </row>
    <row r="2040" ht="25" customHeight="1" spans="1:8">
      <c r="A2040" s="6">
        <v>2038</v>
      </c>
      <c r="B2040" s="7" t="str">
        <f t="shared" si="485"/>
        <v>103</v>
      </c>
      <c r="C2040" s="7" t="s">
        <v>663</v>
      </c>
      <c r="D2040" s="7" t="s">
        <v>664</v>
      </c>
      <c r="E2040" s="7" t="str">
        <f>"李丽婷"</f>
        <v>李丽婷</v>
      </c>
      <c r="F2040" s="7" t="str">
        <f t="shared" si="487"/>
        <v>女</v>
      </c>
      <c r="G2040" s="7" t="s">
        <v>1743</v>
      </c>
      <c r="H2040" s="8"/>
    </row>
    <row r="2041" ht="25" customHeight="1" spans="1:8">
      <c r="A2041" s="6">
        <v>2039</v>
      </c>
      <c r="B2041" s="7" t="str">
        <f t="shared" si="485"/>
        <v>103</v>
      </c>
      <c r="C2041" s="7" t="s">
        <v>663</v>
      </c>
      <c r="D2041" s="7" t="s">
        <v>664</v>
      </c>
      <c r="E2041" s="7" t="str">
        <f>"蔡敷旭"</f>
        <v>蔡敷旭</v>
      </c>
      <c r="F2041" s="7" t="str">
        <f t="shared" ref="F2041:F2046" si="488">"男"</f>
        <v>男</v>
      </c>
      <c r="G2041" s="7" t="s">
        <v>1744</v>
      </c>
      <c r="H2041" s="8"/>
    </row>
    <row r="2042" ht="25" customHeight="1" spans="1:8">
      <c r="A2042" s="6">
        <v>2040</v>
      </c>
      <c r="B2042" s="7" t="str">
        <f t="shared" si="485"/>
        <v>103</v>
      </c>
      <c r="C2042" s="7" t="s">
        <v>663</v>
      </c>
      <c r="D2042" s="7" t="s">
        <v>664</v>
      </c>
      <c r="E2042" s="7" t="str">
        <f>"刘超超"</f>
        <v>刘超超</v>
      </c>
      <c r="F2042" s="7" t="str">
        <f t="shared" si="488"/>
        <v>男</v>
      </c>
      <c r="G2042" s="7" t="s">
        <v>1745</v>
      </c>
      <c r="H2042" s="8"/>
    </row>
    <row r="2043" ht="25" customHeight="1" spans="1:8">
      <c r="A2043" s="6">
        <v>2041</v>
      </c>
      <c r="B2043" s="7" t="str">
        <f t="shared" si="485"/>
        <v>103</v>
      </c>
      <c r="C2043" s="7" t="s">
        <v>663</v>
      </c>
      <c r="D2043" s="7" t="s">
        <v>664</v>
      </c>
      <c r="E2043" s="7" t="str">
        <f>"李金泉"</f>
        <v>李金泉</v>
      </c>
      <c r="F2043" s="7" t="str">
        <f t="shared" si="488"/>
        <v>男</v>
      </c>
      <c r="G2043" s="7" t="s">
        <v>1746</v>
      </c>
      <c r="H2043" s="8"/>
    </row>
    <row r="2044" ht="25" customHeight="1" spans="1:8">
      <c r="A2044" s="6">
        <v>2042</v>
      </c>
      <c r="B2044" s="7" t="str">
        <f t="shared" si="485"/>
        <v>103</v>
      </c>
      <c r="C2044" s="7" t="s">
        <v>663</v>
      </c>
      <c r="D2044" s="7" t="s">
        <v>664</v>
      </c>
      <c r="E2044" s="7" t="str">
        <f>"吴定轩"</f>
        <v>吴定轩</v>
      </c>
      <c r="F2044" s="7" t="str">
        <f t="shared" si="488"/>
        <v>男</v>
      </c>
      <c r="G2044" s="7" t="s">
        <v>1747</v>
      </c>
      <c r="H2044" s="8"/>
    </row>
    <row r="2045" ht="25" customHeight="1" spans="1:8">
      <c r="A2045" s="6">
        <v>2043</v>
      </c>
      <c r="B2045" s="7" t="str">
        <f t="shared" si="485"/>
        <v>103</v>
      </c>
      <c r="C2045" s="7" t="s">
        <v>663</v>
      </c>
      <c r="D2045" s="7" t="s">
        <v>664</v>
      </c>
      <c r="E2045" s="7" t="str">
        <f>"廖国全"</f>
        <v>廖国全</v>
      </c>
      <c r="F2045" s="7" t="str">
        <f t="shared" si="488"/>
        <v>男</v>
      </c>
      <c r="G2045" s="7" t="s">
        <v>1405</v>
      </c>
      <c r="H2045" s="8"/>
    </row>
    <row r="2046" ht="25" customHeight="1" spans="1:8">
      <c r="A2046" s="6">
        <v>2044</v>
      </c>
      <c r="B2046" s="7" t="str">
        <f t="shared" si="485"/>
        <v>103</v>
      </c>
      <c r="C2046" s="7" t="s">
        <v>663</v>
      </c>
      <c r="D2046" s="7" t="s">
        <v>664</v>
      </c>
      <c r="E2046" s="7" t="str">
        <f>"吴清晨"</f>
        <v>吴清晨</v>
      </c>
      <c r="F2046" s="7" t="str">
        <f t="shared" si="488"/>
        <v>男</v>
      </c>
      <c r="G2046" s="7" t="s">
        <v>1748</v>
      </c>
      <c r="H2046" s="8"/>
    </row>
    <row r="2047" ht="25" customHeight="1" spans="1:8">
      <c r="A2047" s="6">
        <v>2045</v>
      </c>
      <c r="B2047" s="7" t="str">
        <f t="shared" si="485"/>
        <v>103</v>
      </c>
      <c r="C2047" s="7" t="s">
        <v>663</v>
      </c>
      <c r="D2047" s="7" t="s">
        <v>664</v>
      </c>
      <c r="E2047" s="7" t="str">
        <f>"黄小芸"</f>
        <v>黄小芸</v>
      </c>
      <c r="F2047" s="7" t="str">
        <f t="shared" ref="F2047:F2051" si="489">"女"</f>
        <v>女</v>
      </c>
      <c r="G2047" s="7" t="s">
        <v>1749</v>
      </c>
      <c r="H2047" s="8"/>
    </row>
    <row r="2048" ht="25" customHeight="1" spans="1:8">
      <c r="A2048" s="6">
        <v>2046</v>
      </c>
      <c r="B2048" s="7" t="str">
        <f t="shared" si="485"/>
        <v>103</v>
      </c>
      <c r="C2048" s="7" t="s">
        <v>663</v>
      </c>
      <c r="D2048" s="7" t="s">
        <v>664</v>
      </c>
      <c r="E2048" s="7" t="str">
        <f>"莫钝"</f>
        <v>莫钝</v>
      </c>
      <c r="F2048" s="7" t="str">
        <f t="shared" ref="F2048:F2052" si="490">"男"</f>
        <v>男</v>
      </c>
      <c r="G2048" s="7" t="s">
        <v>948</v>
      </c>
      <c r="H2048" s="8"/>
    </row>
    <row r="2049" ht="25" customHeight="1" spans="1:8">
      <c r="A2049" s="6">
        <v>2047</v>
      </c>
      <c r="B2049" s="7" t="str">
        <f t="shared" si="485"/>
        <v>103</v>
      </c>
      <c r="C2049" s="7" t="s">
        <v>663</v>
      </c>
      <c r="D2049" s="7" t="s">
        <v>664</v>
      </c>
      <c r="E2049" s="7" t="str">
        <f>"赵颖红"</f>
        <v>赵颖红</v>
      </c>
      <c r="F2049" s="7" t="str">
        <f t="shared" si="489"/>
        <v>女</v>
      </c>
      <c r="G2049" s="7" t="s">
        <v>1750</v>
      </c>
      <c r="H2049" s="8"/>
    </row>
    <row r="2050" ht="25" customHeight="1" spans="1:8">
      <c r="A2050" s="6">
        <v>2048</v>
      </c>
      <c r="B2050" s="7" t="str">
        <f t="shared" si="485"/>
        <v>103</v>
      </c>
      <c r="C2050" s="7" t="s">
        <v>663</v>
      </c>
      <c r="D2050" s="7" t="s">
        <v>664</v>
      </c>
      <c r="E2050" s="7" t="str">
        <f>"邱名亮"</f>
        <v>邱名亮</v>
      </c>
      <c r="F2050" s="7" t="str">
        <f t="shared" si="490"/>
        <v>男</v>
      </c>
      <c r="G2050" s="7" t="s">
        <v>1751</v>
      </c>
      <c r="H2050" s="8"/>
    </row>
    <row r="2051" ht="25" customHeight="1" spans="1:8">
      <c r="A2051" s="6">
        <v>2049</v>
      </c>
      <c r="B2051" s="7" t="str">
        <f t="shared" si="485"/>
        <v>103</v>
      </c>
      <c r="C2051" s="7" t="s">
        <v>663</v>
      </c>
      <c r="D2051" s="7" t="s">
        <v>664</v>
      </c>
      <c r="E2051" s="7" t="str">
        <f>"邓育慧"</f>
        <v>邓育慧</v>
      </c>
      <c r="F2051" s="7" t="str">
        <f t="shared" si="489"/>
        <v>女</v>
      </c>
      <c r="G2051" s="7" t="s">
        <v>1752</v>
      </c>
      <c r="H2051" s="8"/>
    </row>
    <row r="2052" ht="25" customHeight="1" spans="1:8">
      <c r="A2052" s="6">
        <v>2050</v>
      </c>
      <c r="B2052" s="7" t="str">
        <f t="shared" si="485"/>
        <v>103</v>
      </c>
      <c r="C2052" s="7" t="s">
        <v>663</v>
      </c>
      <c r="D2052" s="7" t="s">
        <v>664</v>
      </c>
      <c r="E2052" s="7" t="str">
        <f>"王冠华"</f>
        <v>王冠华</v>
      </c>
      <c r="F2052" s="7" t="str">
        <f t="shared" si="490"/>
        <v>男</v>
      </c>
      <c r="G2052" s="7" t="s">
        <v>595</v>
      </c>
      <c r="H2052" s="8"/>
    </row>
    <row r="2053" ht="25" customHeight="1" spans="1:8">
      <c r="A2053" s="6">
        <v>2051</v>
      </c>
      <c r="B2053" s="7" t="str">
        <f t="shared" si="485"/>
        <v>103</v>
      </c>
      <c r="C2053" s="7" t="s">
        <v>663</v>
      </c>
      <c r="D2053" s="7" t="s">
        <v>664</v>
      </c>
      <c r="E2053" s="7" t="str">
        <f>"林志宇"</f>
        <v>林志宇</v>
      </c>
      <c r="F2053" s="7" t="str">
        <f t="shared" ref="F2053:F2055" si="491">"女"</f>
        <v>女</v>
      </c>
      <c r="G2053" s="7" t="s">
        <v>1753</v>
      </c>
      <c r="H2053" s="8"/>
    </row>
    <row r="2054" ht="25" customHeight="1" spans="1:8">
      <c r="A2054" s="6">
        <v>2052</v>
      </c>
      <c r="B2054" s="7" t="str">
        <f t="shared" si="485"/>
        <v>103</v>
      </c>
      <c r="C2054" s="7" t="s">
        <v>663</v>
      </c>
      <c r="D2054" s="7" t="s">
        <v>664</v>
      </c>
      <c r="E2054" s="7" t="str">
        <f>"郑淇方"</f>
        <v>郑淇方</v>
      </c>
      <c r="F2054" s="7" t="str">
        <f t="shared" si="491"/>
        <v>女</v>
      </c>
      <c r="G2054" s="7" t="s">
        <v>1754</v>
      </c>
      <c r="H2054" s="8"/>
    </row>
    <row r="2055" ht="25" customHeight="1" spans="1:8">
      <c r="A2055" s="6">
        <v>2053</v>
      </c>
      <c r="B2055" s="7" t="str">
        <f t="shared" si="485"/>
        <v>103</v>
      </c>
      <c r="C2055" s="7" t="s">
        <v>663</v>
      </c>
      <c r="D2055" s="7" t="s">
        <v>664</v>
      </c>
      <c r="E2055" s="7" t="str">
        <f>"陈淑媛"</f>
        <v>陈淑媛</v>
      </c>
      <c r="F2055" s="7" t="str">
        <f t="shared" si="491"/>
        <v>女</v>
      </c>
      <c r="G2055" s="7" t="s">
        <v>147</v>
      </c>
      <c r="H2055" s="8"/>
    </row>
    <row r="2056" ht="25" customHeight="1" spans="1:8">
      <c r="A2056" s="6">
        <v>2054</v>
      </c>
      <c r="B2056" s="7" t="str">
        <f t="shared" si="485"/>
        <v>103</v>
      </c>
      <c r="C2056" s="7" t="s">
        <v>663</v>
      </c>
      <c r="D2056" s="7" t="s">
        <v>664</v>
      </c>
      <c r="E2056" s="7" t="str">
        <f>"刘凡梯"</f>
        <v>刘凡梯</v>
      </c>
      <c r="F2056" s="7" t="str">
        <f>"男"</f>
        <v>男</v>
      </c>
      <c r="G2056" s="7" t="s">
        <v>1755</v>
      </c>
      <c r="H2056" s="8"/>
    </row>
    <row r="2057" ht="25" customHeight="1" spans="1:8">
      <c r="A2057" s="6">
        <v>2055</v>
      </c>
      <c r="B2057" s="7" t="str">
        <f t="shared" si="485"/>
        <v>103</v>
      </c>
      <c r="C2057" s="7" t="s">
        <v>663</v>
      </c>
      <c r="D2057" s="7" t="s">
        <v>664</v>
      </c>
      <c r="E2057" s="7" t="str">
        <f>"李宝"</f>
        <v>李宝</v>
      </c>
      <c r="F2057" s="7" t="str">
        <f>"男"</f>
        <v>男</v>
      </c>
      <c r="G2057" s="7" t="s">
        <v>1474</v>
      </c>
      <c r="H2057" s="8"/>
    </row>
    <row r="2058" ht="25" customHeight="1" spans="1:8">
      <c r="A2058" s="6">
        <v>2056</v>
      </c>
      <c r="B2058" s="7" t="str">
        <f t="shared" si="485"/>
        <v>103</v>
      </c>
      <c r="C2058" s="7" t="s">
        <v>663</v>
      </c>
      <c r="D2058" s="7" t="s">
        <v>664</v>
      </c>
      <c r="E2058" s="7" t="str">
        <f>"刘花仙"</f>
        <v>刘花仙</v>
      </c>
      <c r="F2058" s="7" t="str">
        <f t="shared" ref="F2058:F2063" si="492">"女"</f>
        <v>女</v>
      </c>
      <c r="G2058" s="7" t="s">
        <v>1756</v>
      </c>
      <c r="H2058" s="8"/>
    </row>
    <row r="2059" ht="25" customHeight="1" spans="1:8">
      <c r="A2059" s="6">
        <v>2057</v>
      </c>
      <c r="B2059" s="7" t="str">
        <f t="shared" si="485"/>
        <v>103</v>
      </c>
      <c r="C2059" s="7" t="s">
        <v>663</v>
      </c>
      <c r="D2059" s="7" t="s">
        <v>664</v>
      </c>
      <c r="E2059" s="7" t="str">
        <f>"王秋燕"</f>
        <v>王秋燕</v>
      </c>
      <c r="F2059" s="7" t="str">
        <f t="shared" si="492"/>
        <v>女</v>
      </c>
      <c r="G2059" s="7" t="s">
        <v>1757</v>
      </c>
      <c r="H2059" s="8"/>
    </row>
    <row r="2060" ht="25" customHeight="1" spans="1:8">
      <c r="A2060" s="6">
        <v>2058</v>
      </c>
      <c r="B2060" s="7" t="str">
        <f t="shared" si="485"/>
        <v>103</v>
      </c>
      <c r="C2060" s="7" t="s">
        <v>663</v>
      </c>
      <c r="D2060" s="7" t="s">
        <v>664</v>
      </c>
      <c r="E2060" s="7" t="str">
        <f>"陈姿伊"</f>
        <v>陈姿伊</v>
      </c>
      <c r="F2060" s="7" t="str">
        <f t="shared" si="492"/>
        <v>女</v>
      </c>
      <c r="G2060" s="7" t="s">
        <v>1758</v>
      </c>
      <c r="H2060" s="8"/>
    </row>
    <row r="2061" ht="25" customHeight="1" spans="1:8">
      <c r="A2061" s="6">
        <v>2059</v>
      </c>
      <c r="B2061" s="7" t="str">
        <f t="shared" si="485"/>
        <v>103</v>
      </c>
      <c r="C2061" s="7" t="s">
        <v>663</v>
      </c>
      <c r="D2061" s="7" t="s">
        <v>664</v>
      </c>
      <c r="E2061" s="7" t="str">
        <f>"李婧雯"</f>
        <v>李婧雯</v>
      </c>
      <c r="F2061" s="7" t="str">
        <f t="shared" si="492"/>
        <v>女</v>
      </c>
      <c r="G2061" s="7" t="s">
        <v>1759</v>
      </c>
      <c r="H2061" s="8"/>
    </row>
    <row r="2062" ht="25" customHeight="1" spans="1:8">
      <c r="A2062" s="6">
        <v>2060</v>
      </c>
      <c r="B2062" s="7" t="str">
        <f t="shared" si="485"/>
        <v>103</v>
      </c>
      <c r="C2062" s="7" t="s">
        <v>663</v>
      </c>
      <c r="D2062" s="7" t="s">
        <v>664</v>
      </c>
      <c r="E2062" s="7" t="str">
        <f>"林道柠"</f>
        <v>林道柠</v>
      </c>
      <c r="F2062" s="7" t="str">
        <f t="shared" si="492"/>
        <v>女</v>
      </c>
      <c r="G2062" s="7" t="s">
        <v>1760</v>
      </c>
      <c r="H2062" s="8"/>
    </row>
    <row r="2063" ht="25" customHeight="1" spans="1:8">
      <c r="A2063" s="6">
        <v>2061</v>
      </c>
      <c r="B2063" s="7" t="str">
        <f t="shared" si="485"/>
        <v>103</v>
      </c>
      <c r="C2063" s="7" t="s">
        <v>663</v>
      </c>
      <c r="D2063" s="7" t="s">
        <v>664</v>
      </c>
      <c r="E2063" s="7" t="str">
        <f>"吴欣欣"</f>
        <v>吴欣欣</v>
      </c>
      <c r="F2063" s="7" t="str">
        <f t="shared" si="492"/>
        <v>女</v>
      </c>
      <c r="G2063" s="7" t="s">
        <v>1761</v>
      </c>
      <c r="H2063" s="8"/>
    </row>
    <row r="2064" ht="25" customHeight="1" spans="1:8">
      <c r="A2064" s="6">
        <v>2062</v>
      </c>
      <c r="B2064" s="7" t="str">
        <f t="shared" si="485"/>
        <v>103</v>
      </c>
      <c r="C2064" s="7" t="s">
        <v>663</v>
      </c>
      <c r="D2064" s="7" t="s">
        <v>664</v>
      </c>
      <c r="E2064" s="7" t="str">
        <f>"张星"</f>
        <v>张星</v>
      </c>
      <c r="F2064" s="7" t="str">
        <f t="shared" ref="F2064:F2067" si="493">"男"</f>
        <v>男</v>
      </c>
      <c r="G2064" s="7" t="s">
        <v>1762</v>
      </c>
      <c r="H2064" s="8"/>
    </row>
    <row r="2065" ht="25" customHeight="1" spans="1:8">
      <c r="A2065" s="6">
        <v>2063</v>
      </c>
      <c r="B2065" s="7" t="str">
        <f t="shared" si="485"/>
        <v>103</v>
      </c>
      <c r="C2065" s="7" t="s">
        <v>663</v>
      </c>
      <c r="D2065" s="7" t="s">
        <v>664</v>
      </c>
      <c r="E2065" s="7" t="str">
        <f>"陈志博"</f>
        <v>陈志博</v>
      </c>
      <c r="F2065" s="7" t="str">
        <f t="shared" si="493"/>
        <v>男</v>
      </c>
      <c r="G2065" s="7" t="s">
        <v>1763</v>
      </c>
      <c r="H2065" s="8"/>
    </row>
    <row r="2066" ht="25" customHeight="1" spans="1:8">
      <c r="A2066" s="6">
        <v>2064</v>
      </c>
      <c r="B2066" s="7" t="str">
        <f t="shared" si="485"/>
        <v>103</v>
      </c>
      <c r="C2066" s="7" t="s">
        <v>663</v>
      </c>
      <c r="D2066" s="7" t="s">
        <v>664</v>
      </c>
      <c r="E2066" s="7" t="str">
        <f>"符式娇"</f>
        <v>符式娇</v>
      </c>
      <c r="F2066" s="7" t="str">
        <f t="shared" ref="F2066:F2071" si="494">"女"</f>
        <v>女</v>
      </c>
      <c r="G2066" s="7" t="s">
        <v>656</v>
      </c>
      <c r="H2066" s="8"/>
    </row>
    <row r="2067" ht="25" customHeight="1" spans="1:8">
      <c r="A2067" s="6">
        <v>2065</v>
      </c>
      <c r="B2067" s="7" t="str">
        <f t="shared" si="485"/>
        <v>103</v>
      </c>
      <c r="C2067" s="7" t="s">
        <v>663</v>
      </c>
      <c r="D2067" s="7" t="s">
        <v>664</v>
      </c>
      <c r="E2067" s="7" t="str">
        <f>"石长城"</f>
        <v>石长城</v>
      </c>
      <c r="F2067" s="7" t="str">
        <f t="shared" si="493"/>
        <v>男</v>
      </c>
      <c r="G2067" s="7" t="s">
        <v>1669</v>
      </c>
      <c r="H2067" s="8"/>
    </row>
    <row r="2068" ht="25" customHeight="1" spans="1:8">
      <c r="A2068" s="6">
        <v>2066</v>
      </c>
      <c r="B2068" s="7" t="str">
        <f t="shared" si="485"/>
        <v>103</v>
      </c>
      <c r="C2068" s="7" t="s">
        <v>663</v>
      </c>
      <c r="D2068" s="7" t="s">
        <v>664</v>
      </c>
      <c r="E2068" s="7" t="str">
        <f>"吴强"</f>
        <v>吴强</v>
      </c>
      <c r="F2068" s="7" t="str">
        <f t="shared" si="494"/>
        <v>女</v>
      </c>
      <c r="G2068" s="7" t="s">
        <v>1647</v>
      </c>
      <c r="H2068" s="8"/>
    </row>
    <row r="2069" ht="25" customHeight="1" spans="1:8">
      <c r="A2069" s="6">
        <v>2067</v>
      </c>
      <c r="B2069" s="7" t="str">
        <f t="shared" si="485"/>
        <v>103</v>
      </c>
      <c r="C2069" s="7" t="s">
        <v>663</v>
      </c>
      <c r="D2069" s="7" t="s">
        <v>664</v>
      </c>
      <c r="E2069" s="7" t="str">
        <f>"谢祥杰"</f>
        <v>谢祥杰</v>
      </c>
      <c r="F2069" s="7" t="str">
        <f t="shared" ref="F2069:F2075" si="495">"男"</f>
        <v>男</v>
      </c>
      <c r="G2069" s="7" t="s">
        <v>1764</v>
      </c>
      <c r="H2069" s="8"/>
    </row>
    <row r="2070" ht="25" customHeight="1" spans="1:8">
      <c r="A2070" s="6">
        <v>2068</v>
      </c>
      <c r="B2070" s="7" t="str">
        <f t="shared" si="485"/>
        <v>103</v>
      </c>
      <c r="C2070" s="7" t="s">
        <v>663</v>
      </c>
      <c r="D2070" s="7" t="s">
        <v>664</v>
      </c>
      <c r="E2070" s="7" t="str">
        <f>"杨媚"</f>
        <v>杨媚</v>
      </c>
      <c r="F2070" s="7" t="str">
        <f t="shared" si="494"/>
        <v>女</v>
      </c>
      <c r="G2070" s="7" t="s">
        <v>1765</v>
      </c>
      <c r="H2070" s="8"/>
    </row>
    <row r="2071" ht="25" customHeight="1" spans="1:8">
      <c r="A2071" s="6">
        <v>2069</v>
      </c>
      <c r="B2071" s="7" t="str">
        <f t="shared" si="485"/>
        <v>103</v>
      </c>
      <c r="C2071" s="7" t="s">
        <v>663</v>
      </c>
      <c r="D2071" s="7" t="s">
        <v>664</v>
      </c>
      <c r="E2071" s="7" t="str">
        <f>"张蓓"</f>
        <v>张蓓</v>
      </c>
      <c r="F2071" s="7" t="str">
        <f t="shared" si="494"/>
        <v>女</v>
      </c>
      <c r="G2071" s="7" t="s">
        <v>1766</v>
      </c>
      <c r="H2071" s="8"/>
    </row>
    <row r="2072" ht="25" customHeight="1" spans="1:8">
      <c r="A2072" s="6">
        <v>2070</v>
      </c>
      <c r="B2072" s="7" t="str">
        <f t="shared" si="485"/>
        <v>103</v>
      </c>
      <c r="C2072" s="7" t="s">
        <v>663</v>
      </c>
      <c r="D2072" s="7" t="s">
        <v>664</v>
      </c>
      <c r="E2072" s="7" t="str">
        <f>"钟毅"</f>
        <v>钟毅</v>
      </c>
      <c r="F2072" s="7" t="str">
        <f t="shared" si="495"/>
        <v>男</v>
      </c>
      <c r="G2072" s="7" t="s">
        <v>1767</v>
      </c>
      <c r="H2072" s="8"/>
    </row>
    <row r="2073" ht="25" customHeight="1" spans="1:8">
      <c r="A2073" s="6">
        <v>2071</v>
      </c>
      <c r="B2073" s="7" t="str">
        <f t="shared" si="485"/>
        <v>103</v>
      </c>
      <c r="C2073" s="7" t="s">
        <v>663</v>
      </c>
      <c r="D2073" s="7" t="s">
        <v>664</v>
      </c>
      <c r="E2073" s="7" t="str">
        <f>"胡婴儿"</f>
        <v>胡婴儿</v>
      </c>
      <c r="F2073" s="7" t="str">
        <f t="shared" ref="F2073:F2079" si="496">"女"</f>
        <v>女</v>
      </c>
      <c r="G2073" s="7" t="s">
        <v>1768</v>
      </c>
      <c r="H2073" s="8"/>
    </row>
    <row r="2074" ht="25" customHeight="1" spans="1:8">
      <c r="A2074" s="6">
        <v>2072</v>
      </c>
      <c r="B2074" s="7" t="str">
        <f t="shared" si="485"/>
        <v>103</v>
      </c>
      <c r="C2074" s="7" t="s">
        <v>663</v>
      </c>
      <c r="D2074" s="7" t="s">
        <v>664</v>
      </c>
      <c r="E2074" s="7" t="str">
        <f>"黎宏玉"</f>
        <v>黎宏玉</v>
      </c>
      <c r="F2074" s="7" t="str">
        <f t="shared" si="495"/>
        <v>男</v>
      </c>
      <c r="G2074" s="7" t="s">
        <v>1769</v>
      </c>
      <c r="H2074" s="8"/>
    </row>
    <row r="2075" ht="25" customHeight="1" spans="1:8">
      <c r="A2075" s="6">
        <v>2073</v>
      </c>
      <c r="B2075" s="7" t="str">
        <f t="shared" si="485"/>
        <v>103</v>
      </c>
      <c r="C2075" s="7" t="s">
        <v>663</v>
      </c>
      <c r="D2075" s="7" t="s">
        <v>664</v>
      </c>
      <c r="E2075" s="7" t="str">
        <f>"程柏晓"</f>
        <v>程柏晓</v>
      </c>
      <c r="F2075" s="7" t="str">
        <f t="shared" si="495"/>
        <v>男</v>
      </c>
      <c r="G2075" s="7" t="s">
        <v>1770</v>
      </c>
      <c r="H2075" s="8"/>
    </row>
    <row r="2076" ht="25" customHeight="1" spans="1:8">
      <c r="A2076" s="6">
        <v>2074</v>
      </c>
      <c r="B2076" s="7" t="str">
        <f t="shared" si="485"/>
        <v>103</v>
      </c>
      <c r="C2076" s="7" t="s">
        <v>663</v>
      </c>
      <c r="D2076" s="7" t="s">
        <v>664</v>
      </c>
      <c r="E2076" s="7" t="str">
        <f>"黄璇"</f>
        <v>黄璇</v>
      </c>
      <c r="F2076" s="7" t="str">
        <f t="shared" si="496"/>
        <v>女</v>
      </c>
      <c r="G2076" s="7" t="s">
        <v>1771</v>
      </c>
      <c r="H2076" s="8"/>
    </row>
    <row r="2077" ht="25" customHeight="1" spans="1:8">
      <c r="A2077" s="6">
        <v>2075</v>
      </c>
      <c r="B2077" s="7" t="str">
        <f t="shared" si="485"/>
        <v>103</v>
      </c>
      <c r="C2077" s="7" t="s">
        <v>663</v>
      </c>
      <c r="D2077" s="7" t="s">
        <v>664</v>
      </c>
      <c r="E2077" s="7" t="str">
        <f>"容镜蓓"</f>
        <v>容镜蓓</v>
      </c>
      <c r="F2077" s="7" t="str">
        <f t="shared" si="496"/>
        <v>女</v>
      </c>
      <c r="G2077" s="7" t="s">
        <v>830</v>
      </c>
      <c r="H2077" s="8"/>
    </row>
    <row r="2078" ht="25" customHeight="1" spans="1:8">
      <c r="A2078" s="6">
        <v>2076</v>
      </c>
      <c r="B2078" s="7" t="str">
        <f t="shared" si="485"/>
        <v>103</v>
      </c>
      <c r="C2078" s="7" t="s">
        <v>663</v>
      </c>
      <c r="D2078" s="7" t="s">
        <v>664</v>
      </c>
      <c r="E2078" s="7" t="str">
        <f>"李园园"</f>
        <v>李园园</v>
      </c>
      <c r="F2078" s="7" t="str">
        <f t="shared" si="496"/>
        <v>女</v>
      </c>
      <c r="G2078" s="7" t="s">
        <v>1772</v>
      </c>
      <c r="H2078" s="8"/>
    </row>
    <row r="2079" ht="25" customHeight="1" spans="1:8">
      <c r="A2079" s="6">
        <v>2077</v>
      </c>
      <c r="B2079" s="7" t="str">
        <f t="shared" si="485"/>
        <v>103</v>
      </c>
      <c r="C2079" s="7" t="s">
        <v>663</v>
      </c>
      <c r="D2079" s="7" t="s">
        <v>664</v>
      </c>
      <c r="E2079" s="7" t="str">
        <f>"王馨若"</f>
        <v>王馨若</v>
      </c>
      <c r="F2079" s="7" t="str">
        <f t="shared" si="496"/>
        <v>女</v>
      </c>
      <c r="G2079" s="7" t="s">
        <v>1265</v>
      </c>
      <c r="H2079" s="8"/>
    </row>
    <row r="2080" ht="25" customHeight="1" spans="1:8">
      <c r="A2080" s="6">
        <v>2078</v>
      </c>
      <c r="B2080" s="7" t="str">
        <f t="shared" si="485"/>
        <v>103</v>
      </c>
      <c r="C2080" s="7" t="s">
        <v>663</v>
      </c>
      <c r="D2080" s="7" t="s">
        <v>664</v>
      </c>
      <c r="E2080" s="7" t="str">
        <f>"吴祥龙"</f>
        <v>吴祥龙</v>
      </c>
      <c r="F2080" s="7" t="str">
        <f t="shared" ref="F2080:F2085" si="497">"男"</f>
        <v>男</v>
      </c>
      <c r="G2080" s="7" t="s">
        <v>1773</v>
      </c>
      <c r="H2080" s="8"/>
    </row>
    <row r="2081" ht="25" customHeight="1" spans="1:8">
      <c r="A2081" s="6">
        <v>2079</v>
      </c>
      <c r="B2081" s="7" t="str">
        <f t="shared" si="485"/>
        <v>103</v>
      </c>
      <c r="C2081" s="7" t="s">
        <v>663</v>
      </c>
      <c r="D2081" s="7" t="s">
        <v>664</v>
      </c>
      <c r="E2081" s="7" t="str">
        <f>"黄秋霞"</f>
        <v>黄秋霞</v>
      </c>
      <c r="F2081" s="7" t="str">
        <f t="shared" ref="F2081:F2084" si="498">"女"</f>
        <v>女</v>
      </c>
      <c r="G2081" s="7" t="s">
        <v>1774</v>
      </c>
      <c r="H2081" s="8"/>
    </row>
    <row r="2082" ht="25" customHeight="1" spans="1:8">
      <c r="A2082" s="6">
        <v>2080</v>
      </c>
      <c r="B2082" s="7" t="str">
        <f t="shared" si="485"/>
        <v>103</v>
      </c>
      <c r="C2082" s="7" t="s">
        <v>663</v>
      </c>
      <c r="D2082" s="7" t="s">
        <v>664</v>
      </c>
      <c r="E2082" s="7" t="str">
        <f>"胡晓强"</f>
        <v>胡晓强</v>
      </c>
      <c r="F2082" s="7" t="str">
        <f t="shared" si="497"/>
        <v>男</v>
      </c>
      <c r="G2082" s="7" t="s">
        <v>1775</v>
      </c>
      <c r="H2082" s="8"/>
    </row>
    <row r="2083" ht="25" customHeight="1" spans="1:8">
      <c r="A2083" s="6">
        <v>2081</v>
      </c>
      <c r="B2083" s="7" t="str">
        <f t="shared" si="485"/>
        <v>103</v>
      </c>
      <c r="C2083" s="7" t="s">
        <v>663</v>
      </c>
      <c r="D2083" s="7" t="s">
        <v>664</v>
      </c>
      <c r="E2083" s="7" t="str">
        <f>"胡渝汶"</f>
        <v>胡渝汶</v>
      </c>
      <c r="F2083" s="7" t="str">
        <f t="shared" si="498"/>
        <v>女</v>
      </c>
      <c r="G2083" s="7" t="s">
        <v>1776</v>
      </c>
      <c r="H2083" s="8"/>
    </row>
    <row r="2084" ht="25" customHeight="1" spans="1:8">
      <c r="A2084" s="6">
        <v>2082</v>
      </c>
      <c r="B2084" s="7" t="str">
        <f t="shared" si="485"/>
        <v>103</v>
      </c>
      <c r="C2084" s="7" t="s">
        <v>663</v>
      </c>
      <c r="D2084" s="7" t="s">
        <v>664</v>
      </c>
      <c r="E2084" s="7" t="str">
        <f>"陈海婷"</f>
        <v>陈海婷</v>
      </c>
      <c r="F2084" s="7" t="str">
        <f t="shared" si="498"/>
        <v>女</v>
      </c>
      <c r="G2084" s="7" t="s">
        <v>1777</v>
      </c>
      <c r="H2084" s="8"/>
    </row>
    <row r="2085" ht="25" customHeight="1" spans="1:8">
      <c r="A2085" s="6">
        <v>2083</v>
      </c>
      <c r="B2085" s="7" t="str">
        <f t="shared" si="485"/>
        <v>103</v>
      </c>
      <c r="C2085" s="7" t="s">
        <v>663</v>
      </c>
      <c r="D2085" s="7" t="s">
        <v>664</v>
      </c>
      <c r="E2085" s="7" t="str">
        <f>"羊奇强"</f>
        <v>羊奇强</v>
      </c>
      <c r="F2085" s="7" t="str">
        <f t="shared" si="497"/>
        <v>男</v>
      </c>
      <c r="G2085" s="7" t="s">
        <v>1778</v>
      </c>
      <c r="H2085" s="8"/>
    </row>
    <row r="2086" ht="25" customHeight="1" spans="1:8">
      <c r="A2086" s="6">
        <v>2084</v>
      </c>
      <c r="B2086" s="7" t="str">
        <f t="shared" si="485"/>
        <v>103</v>
      </c>
      <c r="C2086" s="7" t="s">
        <v>663</v>
      </c>
      <c r="D2086" s="7" t="s">
        <v>664</v>
      </c>
      <c r="E2086" s="7" t="str">
        <f>"林莹"</f>
        <v>林莹</v>
      </c>
      <c r="F2086" s="7" t="str">
        <f t="shared" ref="F2086:F2088" si="499">"女"</f>
        <v>女</v>
      </c>
      <c r="G2086" s="7" t="s">
        <v>1779</v>
      </c>
      <c r="H2086" s="8"/>
    </row>
    <row r="2087" ht="25" customHeight="1" spans="1:8">
      <c r="A2087" s="6">
        <v>2085</v>
      </c>
      <c r="B2087" s="7" t="str">
        <f t="shared" si="485"/>
        <v>103</v>
      </c>
      <c r="C2087" s="7" t="s">
        <v>663</v>
      </c>
      <c r="D2087" s="7" t="s">
        <v>664</v>
      </c>
      <c r="E2087" s="7" t="str">
        <f>"郭茹"</f>
        <v>郭茹</v>
      </c>
      <c r="F2087" s="7" t="str">
        <f t="shared" si="499"/>
        <v>女</v>
      </c>
      <c r="G2087" s="7" t="s">
        <v>1780</v>
      </c>
      <c r="H2087" s="8"/>
    </row>
    <row r="2088" ht="25" customHeight="1" spans="1:8">
      <c r="A2088" s="6">
        <v>2086</v>
      </c>
      <c r="B2088" s="7" t="str">
        <f t="shared" ref="B2088:B2151" si="500">"103"</f>
        <v>103</v>
      </c>
      <c r="C2088" s="7" t="s">
        <v>663</v>
      </c>
      <c r="D2088" s="7" t="s">
        <v>664</v>
      </c>
      <c r="E2088" s="7" t="str">
        <f>"陈文桢"</f>
        <v>陈文桢</v>
      </c>
      <c r="F2088" s="7" t="str">
        <f t="shared" si="499"/>
        <v>女</v>
      </c>
      <c r="G2088" s="7" t="s">
        <v>1781</v>
      </c>
      <c r="H2088" s="8"/>
    </row>
    <row r="2089" ht="25" customHeight="1" spans="1:8">
      <c r="A2089" s="6">
        <v>2087</v>
      </c>
      <c r="B2089" s="7" t="str">
        <f t="shared" si="500"/>
        <v>103</v>
      </c>
      <c r="C2089" s="7" t="s">
        <v>663</v>
      </c>
      <c r="D2089" s="7" t="s">
        <v>664</v>
      </c>
      <c r="E2089" s="7" t="str">
        <f>"黎德昊"</f>
        <v>黎德昊</v>
      </c>
      <c r="F2089" s="7" t="str">
        <f t="shared" ref="F2089:F2092" si="501">"男"</f>
        <v>男</v>
      </c>
      <c r="G2089" s="7" t="s">
        <v>1447</v>
      </c>
      <c r="H2089" s="8"/>
    </row>
    <row r="2090" ht="25" customHeight="1" spans="1:8">
      <c r="A2090" s="6">
        <v>2088</v>
      </c>
      <c r="B2090" s="7" t="str">
        <f t="shared" si="500"/>
        <v>103</v>
      </c>
      <c r="C2090" s="7" t="s">
        <v>663</v>
      </c>
      <c r="D2090" s="7" t="s">
        <v>664</v>
      </c>
      <c r="E2090" s="7" t="str">
        <f>"骆青山"</f>
        <v>骆青山</v>
      </c>
      <c r="F2090" s="7" t="str">
        <f t="shared" si="501"/>
        <v>男</v>
      </c>
      <c r="G2090" s="7" t="s">
        <v>1782</v>
      </c>
      <c r="H2090" s="8"/>
    </row>
    <row r="2091" ht="25" customHeight="1" spans="1:8">
      <c r="A2091" s="6">
        <v>2089</v>
      </c>
      <c r="B2091" s="7" t="str">
        <f t="shared" si="500"/>
        <v>103</v>
      </c>
      <c r="C2091" s="7" t="s">
        <v>663</v>
      </c>
      <c r="D2091" s="7" t="s">
        <v>664</v>
      </c>
      <c r="E2091" s="7" t="str">
        <f>"刘德意"</f>
        <v>刘德意</v>
      </c>
      <c r="F2091" s="7" t="str">
        <f t="shared" si="501"/>
        <v>男</v>
      </c>
      <c r="G2091" s="7" t="s">
        <v>1385</v>
      </c>
      <c r="H2091" s="8"/>
    </row>
    <row r="2092" ht="25" customHeight="1" spans="1:8">
      <c r="A2092" s="6">
        <v>2090</v>
      </c>
      <c r="B2092" s="7" t="str">
        <f t="shared" si="500"/>
        <v>103</v>
      </c>
      <c r="C2092" s="7" t="s">
        <v>663</v>
      </c>
      <c r="D2092" s="7" t="s">
        <v>664</v>
      </c>
      <c r="E2092" s="7" t="str">
        <f>"哈金宝"</f>
        <v>哈金宝</v>
      </c>
      <c r="F2092" s="7" t="str">
        <f t="shared" si="501"/>
        <v>男</v>
      </c>
      <c r="G2092" s="7" t="s">
        <v>1783</v>
      </c>
      <c r="H2092" s="8"/>
    </row>
    <row r="2093" ht="25" customHeight="1" spans="1:8">
      <c r="A2093" s="6">
        <v>2091</v>
      </c>
      <c r="B2093" s="7" t="str">
        <f t="shared" si="500"/>
        <v>103</v>
      </c>
      <c r="C2093" s="7" t="s">
        <v>663</v>
      </c>
      <c r="D2093" s="7" t="s">
        <v>664</v>
      </c>
      <c r="E2093" s="7" t="str">
        <f>"麦宜来"</f>
        <v>麦宜来</v>
      </c>
      <c r="F2093" s="7" t="str">
        <f t="shared" ref="F2093:F2099" si="502">"女"</f>
        <v>女</v>
      </c>
      <c r="G2093" s="7" t="s">
        <v>1784</v>
      </c>
      <c r="H2093" s="8"/>
    </row>
    <row r="2094" ht="25" customHeight="1" spans="1:8">
      <c r="A2094" s="6">
        <v>2092</v>
      </c>
      <c r="B2094" s="7" t="str">
        <f t="shared" si="500"/>
        <v>103</v>
      </c>
      <c r="C2094" s="7" t="s">
        <v>663</v>
      </c>
      <c r="D2094" s="7" t="s">
        <v>664</v>
      </c>
      <c r="E2094" s="7" t="str">
        <f>"吴佳璇"</f>
        <v>吴佳璇</v>
      </c>
      <c r="F2094" s="7" t="str">
        <f t="shared" si="502"/>
        <v>女</v>
      </c>
      <c r="G2094" s="7" t="s">
        <v>262</v>
      </c>
      <c r="H2094" s="8"/>
    </row>
    <row r="2095" ht="25" customHeight="1" spans="1:8">
      <c r="A2095" s="6">
        <v>2093</v>
      </c>
      <c r="B2095" s="7" t="str">
        <f t="shared" si="500"/>
        <v>103</v>
      </c>
      <c r="C2095" s="7" t="s">
        <v>663</v>
      </c>
      <c r="D2095" s="7" t="s">
        <v>664</v>
      </c>
      <c r="E2095" s="7" t="str">
        <f>"吴清慧"</f>
        <v>吴清慧</v>
      </c>
      <c r="F2095" s="7" t="str">
        <f t="shared" si="502"/>
        <v>女</v>
      </c>
      <c r="G2095" s="7" t="s">
        <v>1785</v>
      </c>
      <c r="H2095" s="8"/>
    </row>
    <row r="2096" ht="25" customHeight="1" spans="1:8">
      <c r="A2096" s="6">
        <v>2094</v>
      </c>
      <c r="B2096" s="7" t="str">
        <f t="shared" si="500"/>
        <v>103</v>
      </c>
      <c r="C2096" s="7" t="s">
        <v>663</v>
      </c>
      <c r="D2096" s="7" t="s">
        <v>664</v>
      </c>
      <c r="E2096" s="7" t="str">
        <f>"林淑桃"</f>
        <v>林淑桃</v>
      </c>
      <c r="F2096" s="7" t="str">
        <f t="shared" si="502"/>
        <v>女</v>
      </c>
      <c r="G2096" s="7" t="s">
        <v>1786</v>
      </c>
      <c r="H2096" s="8"/>
    </row>
    <row r="2097" ht="25" customHeight="1" spans="1:8">
      <c r="A2097" s="6">
        <v>2095</v>
      </c>
      <c r="B2097" s="7" t="str">
        <f t="shared" si="500"/>
        <v>103</v>
      </c>
      <c r="C2097" s="7" t="s">
        <v>663</v>
      </c>
      <c r="D2097" s="7" t="s">
        <v>664</v>
      </c>
      <c r="E2097" s="7" t="str">
        <f>"李雯"</f>
        <v>李雯</v>
      </c>
      <c r="F2097" s="7" t="str">
        <f t="shared" si="502"/>
        <v>女</v>
      </c>
      <c r="G2097" s="7" t="s">
        <v>1787</v>
      </c>
      <c r="H2097" s="8"/>
    </row>
    <row r="2098" ht="25" customHeight="1" spans="1:8">
      <c r="A2098" s="6">
        <v>2096</v>
      </c>
      <c r="B2098" s="7" t="str">
        <f t="shared" si="500"/>
        <v>103</v>
      </c>
      <c r="C2098" s="7" t="s">
        <v>663</v>
      </c>
      <c r="D2098" s="7" t="s">
        <v>664</v>
      </c>
      <c r="E2098" s="7" t="str">
        <f>"柳香会"</f>
        <v>柳香会</v>
      </c>
      <c r="F2098" s="7" t="str">
        <f t="shared" si="502"/>
        <v>女</v>
      </c>
      <c r="G2098" s="7" t="s">
        <v>1788</v>
      </c>
      <c r="H2098" s="8"/>
    </row>
    <row r="2099" ht="25" customHeight="1" spans="1:8">
      <c r="A2099" s="6">
        <v>2097</v>
      </c>
      <c r="B2099" s="7" t="str">
        <f t="shared" si="500"/>
        <v>103</v>
      </c>
      <c r="C2099" s="7" t="s">
        <v>663</v>
      </c>
      <c r="D2099" s="7" t="s">
        <v>664</v>
      </c>
      <c r="E2099" s="7" t="str">
        <f>"冯丽珍"</f>
        <v>冯丽珍</v>
      </c>
      <c r="F2099" s="7" t="str">
        <f t="shared" si="502"/>
        <v>女</v>
      </c>
      <c r="G2099" s="7" t="s">
        <v>1789</v>
      </c>
      <c r="H2099" s="8"/>
    </row>
    <row r="2100" ht="25" customHeight="1" spans="1:8">
      <c r="A2100" s="6">
        <v>2098</v>
      </c>
      <c r="B2100" s="7" t="str">
        <f t="shared" si="500"/>
        <v>103</v>
      </c>
      <c r="C2100" s="7" t="s">
        <v>663</v>
      </c>
      <c r="D2100" s="7" t="s">
        <v>664</v>
      </c>
      <c r="E2100" s="7" t="str">
        <f>"陈学昱"</f>
        <v>陈学昱</v>
      </c>
      <c r="F2100" s="7" t="str">
        <f t="shared" ref="F2100:F2106" si="503">"男"</f>
        <v>男</v>
      </c>
      <c r="G2100" s="7" t="s">
        <v>1081</v>
      </c>
      <c r="H2100" s="8"/>
    </row>
    <row r="2101" ht="25" customHeight="1" spans="1:8">
      <c r="A2101" s="6">
        <v>2099</v>
      </c>
      <c r="B2101" s="7" t="str">
        <f t="shared" si="500"/>
        <v>103</v>
      </c>
      <c r="C2101" s="7" t="s">
        <v>663</v>
      </c>
      <c r="D2101" s="7" t="s">
        <v>664</v>
      </c>
      <c r="E2101" s="7" t="str">
        <f>"符艾娟"</f>
        <v>符艾娟</v>
      </c>
      <c r="F2101" s="7" t="str">
        <f t="shared" ref="F2101:F2104" si="504">"女"</f>
        <v>女</v>
      </c>
      <c r="G2101" s="7" t="s">
        <v>1790</v>
      </c>
      <c r="H2101" s="8"/>
    </row>
    <row r="2102" ht="25" customHeight="1" spans="1:8">
      <c r="A2102" s="6">
        <v>2100</v>
      </c>
      <c r="B2102" s="7" t="str">
        <f t="shared" si="500"/>
        <v>103</v>
      </c>
      <c r="C2102" s="7" t="s">
        <v>663</v>
      </c>
      <c r="D2102" s="7" t="s">
        <v>664</v>
      </c>
      <c r="E2102" s="7" t="str">
        <f>"文德"</f>
        <v>文德</v>
      </c>
      <c r="F2102" s="7" t="str">
        <f t="shared" si="503"/>
        <v>男</v>
      </c>
      <c r="G2102" s="7" t="s">
        <v>1791</v>
      </c>
      <c r="H2102" s="8"/>
    </row>
    <row r="2103" ht="25" customHeight="1" spans="1:8">
      <c r="A2103" s="6">
        <v>2101</v>
      </c>
      <c r="B2103" s="7" t="str">
        <f t="shared" si="500"/>
        <v>103</v>
      </c>
      <c r="C2103" s="7" t="s">
        <v>663</v>
      </c>
      <c r="D2103" s="7" t="s">
        <v>664</v>
      </c>
      <c r="E2103" s="7" t="str">
        <f>"张靖悦"</f>
        <v>张靖悦</v>
      </c>
      <c r="F2103" s="7" t="str">
        <f t="shared" si="504"/>
        <v>女</v>
      </c>
      <c r="G2103" s="7" t="s">
        <v>1792</v>
      </c>
      <c r="H2103" s="8"/>
    </row>
    <row r="2104" ht="25" customHeight="1" spans="1:8">
      <c r="A2104" s="6">
        <v>2102</v>
      </c>
      <c r="B2104" s="7" t="str">
        <f t="shared" si="500"/>
        <v>103</v>
      </c>
      <c r="C2104" s="7" t="s">
        <v>663</v>
      </c>
      <c r="D2104" s="7" t="s">
        <v>664</v>
      </c>
      <c r="E2104" s="7" t="str">
        <f>"陈朝霞"</f>
        <v>陈朝霞</v>
      </c>
      <c r="F2104" s="7" t="str">
        <f t="shared" si="504"/>
        <v>女</v>
      </c>
      <c r="G2104" s="7" t="s">
        <v>1793</v>
      </c>
      <c r="H2104" s="8"/>
    </row>
    <row r="2105" ht="25" customHeight="1" spans="1:8">
      <c r="A2105" s="6">
        <v>2103</v>
      </c>
      <c r="B2105" s="7" t="str">
        <f t="shared" si="500"/>
        <v>103</v>
      </c>
      <c r="C2105" s="7" t="s">
        <v>663</v>
      </c>
      <c r="D2105" s="7" t="s">
        <v>664</v>
      </c>
      <c r="E2105" s="7" t="str">
        <f>"叶子龙"</f>
        <v>叶子龙</v>
      </c>
      <c r="F2105" s="7" t="str">
        <f t="shared" si="503"/>
        <v>男</v>
      </c>
      <c r="G2105" s="7" t="s">
        <v>1794</v>
      </c>
      <c r="H2105" s="8"/>
    </row>
    <row r="2106" ht="25" customHeight="1" spans="1:8">
      <c r="A2106" s="6">
        <v>2104</v>
      </c>
      <c r="B2106" s="7" t="str">
        <f t="shared" si="500"/>
        <v>103</v>
      </c>
      <c r="C2106" s="7" t="s">
        <v>663</v>
      </c>
      <c r="D2106" s="7" t="s">
        <v>664</v>
      </c>
      <c r="E2106" s="7" t="str">
        <f>" 梁国涛"</f>
        <v> 梁国涛</v>
      </c>
      <c r="F2106" s="7" t="str">
        <f t="shared" si="503"/>
        <v>男</v>
      </c>
      <c r="G2106" s="7" t="s">
        <v>1795</v>
      </c>
      <c r="H2106" s="8"/>
    </row>
    <row r="2107" ht="25" customHeight="1" spans="1:8">
      <c r="A2107" s="6">
        <v>2105</v>
      </c>
      <c r="B2107" s="7" t="str">
        <f t="shared" si="500"/>
        <v>103</v>
      </c>
      <c r="C2107" s="7" t="s">
        <v>663</v>
      </c>
      <c r="D2107" s="7" t="s">
        <v>664</v>
      </c>
      <c r="E2107" s="7" t="str">
        <f>"林荟"</f>
        <v>林荟</v>
      </c>
      <c r="F2107" s="7" t="str">
        <f t="shared" ref="F2107:F2109" si="505">"女"</f>
        <v>女</v>
      </c>
      <c r="G2107" s="7" t="s">
        <v>1796</v>
      </c>
      <c r="H2107" s="8"/>
    </row>
    <row r="2108" ht="25" customHeight="1" spans="1:8">
      <c r="A2108" s="6">
        <v>2106</v>
      </c>
      <c r="B2108" s="7" t="str">
        <f t="shared" si="500"/>
        <v>103</v>
      </c>
      <c r="C2108" s="7" t="s">
        <v>663</v>
      </c>
      <c r="D2108" s="7" t="s">
        <v>664</v>
      </c>
      <c r="E2108" s="7" t="str">
        <f>"张冬玉"</f>
        <v>张冬玉</v>
      </c>
      <c r="F2108" s="7" t="str">
        <f t="shared" si="505"/>
        <v>女</v>
      </c>
      <c r="G2108" s="7" t="s">
        <v>1797</v>
      </c>
      <c r="H2108" s="8"/>
    </row>
    <row r="2109" ht="25" customHeight="1" spans="1:8">
      <c r="A2109" s="6">
        <v>2107</v>
      </c>
      <c r="B2109" s="7" t="str">
        <f t="shared" si="500"/>
        <v>103</v>
      </c>
      <c r="C2109" s="7" t="s">
        <v>663</v>
      </c>
      <c r="D2109" s="7" t="s">
        <v>664</v>
      </c>
      <c r="E2109" s="7" t="str">
        <f>"邓木友"</f>
        <v>邓木友</v>
      </c>
      <c r="F2109" s="7" t="str">
        <f t="shared" si="505"/>
        <v>女</v>
      </c>
      <c r="G2109" s="7" t="s">
        <v>1798</v>
      </c>
      <c r="H2109" s="8"/>
    </row>
    <row r="2110" ht="25" customHeight="1" spans="1:8">
      <c r="A2110" s="6">
        <v>2108</v>
      </c>
      <c r="B2110" s="7" t="str">
        <f t="shared" si="500"/>
        <v>103</v>
      </c>
      <c r="C2110" s="7" t="s">
        <v>663</v>
      </c>
      <c r="D2110" s="7" t="s">
        <v>664</v>
      </c>
      <c r="E2110" s="7" t="str">
        <f>"吴科道"</f>
        <v>吴科道</v>
      </c>
      <c r="F2110" s="7" t="str">
        <f t="shared" ref="F2110:F2119" si="506">"男"</f>
        <v>男</v>
      </c>
      <c r="G2110" s="7" t="s">
        <v>1799</v>
      </c>
      <c r="H2110" s="8"/>
    </row>
    <row r="2111" ht="25" customHeight="1" spans="1:8">
      <c r="A2111" s="6">
        <v>2109</v>
      </c>
      <c r="B2111" s="7" t="str">
        <f t="shared" si="500"/>
        <v>103</v>
      </c>
      <c r="C2111" s="7" t="s">
        <v>663</v>
      </c>
      <c r="D2111" s="7" t="s">
        <v>664</v>
      </c>
      <c r="E2111" s="7" t="str">
        <f>"郑学妍"</f>
        <v>郑学妍</v>
      </c>
      <c r="F2111" s="7" t="str">
        <f>"女"</f>
        <v>女</v>
      </c>
      <c r="G2111" s="7" t="s">
        <v>1800</v>
      </c>
      <c r="H2111" s="8"/>
    </row>
    <row r="2112" ht="25" customHeight="1" spans="1:8">
      <c r="A2112" s="6">
        <v>2110</v>
      </c>
      <c r="B2112" s="7" t="str">
        <f t="shared" si="500"/>
        <v>103</v>
      </c>
      <c r="C2112" s="7" t="s">
        <v>663</v>
      </c>
      <c r="D2112" s="7" t="s">
        <v>664</v>
      </c>
      <c r="E2112" s="7" t="str">
        <f>"沈月娇"</f>
        <v>沈月娇</v>
      </c>
      <c r="F2112" s="7" t="str">
        <f>"女"</f>
        <v>女</v>
      </c>
      <c r="G2112" s="7" t="s">
        <v>1801</v>
      </c>
      <c r="H2112" s="8"/>
    </row>
    <row r="2113" ht="25" customHeight="1" spans="1:8">
      <c r="A2113" s="6">
        <v>2111</v>
      </c>
      <c r="B2113" s="7" t="str">
        <f t="shared" si="500"/>
        <v>103</v>
      </c>
      <c r="C2113" s="7" t="s">
        <v>663</v>
      </c>
      <c r="D2113" s="7" t="s">
        <v>664</v>
      </c>
      <c r="E2113" s="7" t="str">
        <f>"王阳"</f>
        <v>王阳</v>
      </c>
      <c r="F2113" s="7" t="str">
        <f t="shared" si="506"/>
        <v>男</v>
      </c>
      <c r="G2113" s="7" t="s">
        <v>1802</v>
      </c>
      <c r="H2113" s="8"/>
    </row>
    <row r="2114" ht="25" customHeight="1" spans="1:8">
      <c r="A2114" s="6">
        <v>2112</v>
      </c>
      <c r="B2114" s="7" t="str">
        <f t="shared" si="500"/>
        <v>103</v>
      </c>
      <c r="C2114" s="7" t="s">
        <v>663</v>
      </c>
      <c r="D2114" s="7" t="s">
        <v>664</v>
      </c>
      <c r="E2114" s="7" t="str">
        <f>"张晓东"</f>
        <v>张晓东</v>
      </c>
      <c r="F2114" s="7" t="str">
        <f t="shared" si="506"/>
        <v>男</v>
      </c>
      <c r="G2114" s="7" t="s">
        <v>1803</v>
      </c>
      <c r="H2114" s="8"/>
    </row>
    <row r="2115" ht="25" customHeight="1" spans="1:8">
      <c r="A2115" s="6">
        <v>2113</v>
      </c>
      <c r="B2115" s="7" t="str">
        <f t="shared" si="500"/>
        <v>103</v>
      </c>
      <c r="C2115" s="7" t="s">
        <v>663</v>
      </c>
      <c r="D2115" s="7" t="s">
        <v>664</v>
      </c>
      <c r="E2115" s="7" t="str">
        <f>"林斌"</f>
        <v>林斌</v>
      </c>
      <c r="F2115" s="7" t="str">
        <f t="shared" si="506"/>
        <v>男</v>
      </c>
      <c r="G2115" s="7" t="s">
        <v>1804</v>
      </c>
      <c r="H2115" s="8"/>
    </row>
    <row r="2116" ht="25" customHeight="1" spans="1:8">
      <c r="A2116" s="6">
        <v>2114</v>
      </c>
      <c r="B2116" s="7" t="str">
        <f t="shared" si="500"/>
        <v>103</v>
      </c>
      <c r="C2116" s="7" t="s">
        <v>663</v>
      </c>
      <c r="D2116" s="7" t="s">
        <v>664</v>
      </c>
      <c r="E2116" s="7" t="str">
        <f>"林原"</f>
        <v>林原</v>
      </c>
      <c r="F2116" s="7" t="str">
        <f t="shared" si="506"/>
        <v>男</v>
      </c>
      <c r="G2116" s="7" t="s">
        <v>1805</v>
      </c>
      <c r="H2116" s="8"/>
    </row>
    <row r="2117" ht="25" customHeight="1" spans="1:8">
      <c r="A2117" s="6">
        <v>2115</v>
      </c>
      <c r="B2117" s="7" t="str">
        <f t="shared" si="500"/>
        <v>103</v>
      </c>
      <c r="C2117" s="7" t="s">
        <v>663</v>
      </c>
      <c r="D2117" s="7" t="s">
        <v>664</v>
      </c>
      <c r="E2117" s="7" t="str">
        <f>"姚斌斌"</f>
        <v>姚斌斌</v>
      </c>
      <c r="F2117" s="7" t="str">
        <f t="shared" si="506"/>
        <v>男</v>
      </c>
      <c r="G2117" s="7" t="s">
        <v>1806</v>
      </c>
      <c r="H2117" s="8"/>
    </row>
    <row r="2118" ht="25" customHeight="1" spans="1:8">
      <c r="A2118" s="6">
        <v>2116</v>
      </c>
      <c r="B2118" s="7" t="str">
        <f t="shared" si="500"/>
        <v>103</v>
      </c>
      <c r="C2118" s="7" t="s">
        <v>663</v>
      </c>
      <c r="D2118" s="7" t="s">
        <v>664</v>
      </c>
      <c r="E2118" s="7" t="str">
        <f>"柳重超"</f>
        <v>柳重超</v>
      </c>
      <c r="F2118" s="7" t="str">
        <f t="shared" si="506"/>
        <v>男</v>
      </c>
      <c r="G2118" s="7" t="s">
        <v>1807</v>
      </c>
      <c r="H2118" s="8"/>
    </row>
    <row r="2119" ht="25" customHeight="1" spans="1:8">
      <c r="A2119" s="6">
        <v>2117</v>
      </c>
      <c r="B2119" s="7" t="str">
        <f t="shared" si="500"/>
        <v>103</v>
      </c>
      <c r="C2119" s="7" t="s">
        <v>663</v>
      </c>
      <c r="D2119" s="7" t="s">
        <v>664</v>
      </c>
      <c r="E2119" s="7" t="str">
        <f>"陈智健"</f>
        <v>陈智健</v>
      </c>
      <c r="F2119" s="7" t="str">
        <f t="shared" si="506"/>
        <v>男</v>
      </c>
      <c r="G2119" s="7" t="s">
        <v>1808</v>
      </c>
      <c r="H2119" s="8"/>
    </row>
    <row r="2120" ht="25" customHeight="1" spans="1:8">
      <c r="A2120" s="6">
        <v>2118</v>
      </c>
      <c r="B2120" s="7" t="str">
        <f t="shared" si="500"/>
        <v>103</v>
      </c>
      <c r="C2120" s="7" t="s">
        <v>663</v>
      </c>
      <c r="D2120" s="7" t="s">
        <v>664</v>
      </c>
      <c r="E2120" s="7" t="str">
        <f>"吉玲慧"</f>
        <v>吉玲慧</v>
      </c>
      <c r="F2120" s="7" t="str">
        <f t="shared" ref="F2120:F2125" si="507">"女"</f>
        <v>女</v>
      </c>
      <c r="G2120" s="7" t="s">
        <v>1786</v>
      </c>
      <c r="H2120" s="8"/>
    </row>
    <row r="2121" ht="25" customHeight="1" spans="1:8">
      <c r="A2121" s="6">
        <v>2119</v>
      </c>
      <c r="B2121" s="7" t="str">
        <f t="shared" si="500"/>
        <v>103</v>
      </c>
      <c r="C2121" s="7" t="s">
        <v>663</v>
      </c>
      <c r="D2121" s="7" t="s">
        <v>664</v>
      </c>
      <c r="E2121" s="7" t="str">
        <f>"林乃华"</f>
        <v>林乃华</v>
      </c>
      <c r="F2121" s="7" t="str">
        <f t="shared" ref="F2121:F2124" si="508">"男"</f>
        <v>男</v>
      </c>
      <c r="G2121" s="7" t="s">
        <v>1261</v>
      </c>
      <c r="H2121" s="8"/>
    </row>
    <row r="2122" ht="25" customHeight="1" spans="1:8">
      <c r="A2122" s="6">
        <v>2120</v>
      </c>
      <c r="B2122" s="7" t="str">
        <f t="shared" si="500"/>
        <v>103</v>
      </c>
      <c r="C2122" s="7" t="s">
        <v>663</v>
      </c>
      <c r="D2122" s="7" t="s">
        <v>664</v>
      </c>
      <c r="E2122" s="7" t="str">
        <f>"杨晨瑜"</f>
        <v>杨晨瑜</v>
      </c>
      <c r="F2122" s="7" t="str">
        <f t="shared" si="507"/>
        <v>女</v>
      </c>
      <c r="G2122" s="7" t="s">
        <v>1809</v>
      </c>
      <c r="H2122" s="8"/>
    </row>
    <row r="2123" ht="25" customHeight="1" spans="1:8">
      <c r="A2123" s="6">
        <v>2121</v>
      </c>
      <c r="B2123" s="7" t="str">
        <f t="shared" si="500"/>
        <v>103</v>
      </c>
      <c r="C2123" s="7" t="s">
        <v>663</v>
      </c>
      <c r="D2123" s="7" t="s">
        <v>664</v>
      </c>
      <c r="E2123" s="7" t="str">
        <f>"谢发城"</f>
        <v>谢发城</v>
      </c>
      <c r="F2123" s="7" t="str">
        <f t="shared" si="508"/>
        <v>男</v>
      </c>
      <c r="G2123" s="7" t="s">
        <v>1810</v>
      </c>
      <c r="H2123" s="8"/>
    </row>
    <row r="2124" ht="25" customHeight="1" spans="1:8">
      <c r="A2124" s="6">
        <v>2122</v>
      </c>
      <c r="B2124" s="7" t="str">
        <f t="shared" si="500"/>
        <v>103</v>
      </c>
      <c r="C2124" s="7" t="s">
        <v>663</v>
      </c>
      <c r="D2124" s="7" t="s">
        <v>664</v>
      </c>
      <c r="E2124" s="7" t="str">
        <f>"李健"</f>
        <v>李健</v>
      </c>
      <c r="F2124" s="7" t="str">
        <f t="shared" si="508"/>
        <v>男</v>
      </c>
      <c r="G2124" s="7" t="s">
        <v>1811</v>
      </c>
      <c r="H2124" s="8"/>
    </row>
    <row r="2125" ht="25" customHeight="1" spans="1:8">
      <c r="A2125" s="6">
        <v>2123</v>
      </c>
      <c r="B2125" s="7" t="str">
        <f t="shared" si="500"/>
        <v>103</v>
      </c>
      <c r="C2125" s="7" t="s">
        <v>663</v>
      </c>
      <c r="D2125" s="7" t="s">
        <v>664</v>
      </c>
      <c r="E2125" s="7" t="str">
        <f>"钟秋梅"</f>
        <v>钟秋梅</v>
      </c>
      <c r="F2125" s="7" t="str">
        <f t="shared" si="507"/>
        <v>女</v>
      </c>
      <c r="G2125" s="7" t="s">
        <v>1812</v>
      </c>
      <c r="H2125" s="8"/>
    </row>
    <row r="2126" ht="25" customHeight="1" spans="1:8">
      <c r="A2126" s="6">
        <v>2124</v>
      </c>
      <c r="B2126" s="7" t="str">
        <f t="shared" si="500"/>
        <v>103</v>
      </c>
      <c r="C2126" s="7" t="s">
        <v>663</v>
      </c>
      <c r="D2126" s="7" t="s">
        <v>664</v>
      </c>
      <c r="E2126" s="7" t="str">
        <f>"陈冠岳"</f>
        <v>陈冠岳</v>
      </c>
      <c r="F2126" s="7" t="str">
        <f>"男"</f>
        <v>男</v>
      </c>
      <c r="G2126" s="7" t="s">
        <v>1813</v>
      </c>
      <c r="H2126" s="8"/>
    </row>
    <row r="2127" ht="25" customHeight="1" spans="1:8">
      <c r="A2127" s="6">
        <v>2125</v>
      </c>
      <c r="B2127" s="7" t="str">
        <f t="shared" si="500"/>
        <v>103</v>
      </c>
      <c r="C2127" s="7" t="s">
        <v>663</v>
      </c>
      <c r="D2127" s="7" t="s">
        <v>664</v>
      </c>
      <c r="E2127" s="7" t="str">
        <f>"罗盈盈"</f>
        <v>罗盈盈</v>
      </c>
      <c r="F2127" s="7" t="str">
        <f t="shared" ref="F2127:F2131" si="509">"女"</f>
        <v>女</v>
      </c>
      <c r="G2127" s="7" t="s">
        <v>1814</v>
      </c>
      <c r="H2127" s="8"/>
    </row>
    <row r="2128" ht="25" customHeight="1" spans="1:8">
      <c r="A2128" s="6">
        <v>2126</v>
      </c>
      <c r="B2128" s="7" t="str">
        <f t="shared" si="500"/>
        <v>103</v>
      </c>
      <c r="C2128" s="7" t="s">
        <v>663</v>
      </c>
      <c r="D2128" s="7" t="s">
        <v>664</v>
      </c>
      <c r="E2128" s="7" t="str">
        <f>"李敏"</f>
        <v>李敏</v>
      </c>
      <c r="F2128" s="7" t="str">
        <f t="shared" si="509"/>
        <v>女</v>
      </c>
      <c r="G2128" s="7" t="s">
        <v>1815</v>
      </c>
      <c r="H2128" s="8"/>
    </row>
    <row r="2129" ht="25" customHeight="1" spans="1:8">
      <c r="A2129" s="6">
        <v>2127</v>
      </c>
      <c r="B2129" s="7" t="str">
        <f t="shared" si="500"/>
        <v>103</v>
      </c>
      <c r="C2129" s="7" t="s">
        <v>663</v>
      </c>
      <c r="D2129" s="7" t="s">
        <v>664</v>
      </c>
      <c r="E2129" s="7" t="str">
        <f>"陈顺玲"</f>
        <v>陈顺玲</v>
      </c>
      <c r="F2129" s="7" t="str">
        <f t="shared" si="509"/>
        <v>女</v>
      </c>
      <c r="G2129" s="7" t="s">
        <v>1816</v>
      </c>
      <c r="H2129" s="8"/>
    </row>
    <row r="2130" ht="25" customHeight="1" spans="1:8">
      <c r="A2130" s="6">
        <v>2128</v>
      </c>
      <c r="B2130" s="7" t="str">
        <f t="shared" si="500"/>
        <v>103</v>
      </c>
      <c r="C2130" s="7" t="s">
        <v>663</v>
      </c>
      <c r="D2130" s="7" t="s">
        <v>664</v>
      </c>
      <c r="E2130" s="7" t="str">
        <f>"张琼月"</f>
        <v>张琼月</v>
      </c>
      <c r="F2130" s="7" t="str">
        <f t="shared" si="509"/>
        <v>女</v>
      </c>
      <c r="G2130" s="7" t="s">
        <v>1817</v>
      </c>
      <c r="H2130" s="8"/>
    </row>
    <row r="2131" ht="25" customHeight="1" spans="1:8">
      <c r="A2131" s="6">
        <v>2129</v>
      </c>
      <c r="B2131" s="7" t="str">
        <f t="shared" si="500"/>
        <v>103</v>
      </c>
      <c r="C2131" s="7" t="s">
        <v>663</v>
      </c>
      <c r="D2131" s="7" t="s">
        <v>664</v>
      </c>
      <c r="E2131" s="7" t="str">
        <f>"陈泰兰"</f>
        <v>陈泰兰</v>
      </c>
      <c r="F2131" s="7" t="str">
        <f t="shared" si="509"/>
        <v>女</v>
      </c>
      <c r="G2131" s="7" t="s">
        <v>1818</v>
      </c>
      <c r="H2131" s="8"/>
    </row>
    <row r="2132" ht="25" customHeight="1" spans="1:8">
      <c r="A2132" s="6">
        <v>2130</v>
      </c>
      <c r="B2132" s="7" t="str">
        <f t="shared" si="500"/>
        <v>103</v>
      </c>
      <c r="C2132" s="7" t="s">
        <v>663</v>
      </c>
      <c r="D2132" s="7" t="s">
        <v>664</v>
      </c>
      <c r="E2132" s="7" t="str">
        <f>"粟立翔"</f>
        <v>粟立翔</v>
      </c>
      <c r="F2132" s="7" t="str">
        <f t="shared" ref="F2132:F2134" si="510">"男"</f>
        <v>男</v>
      </c>
      <c r="G2132" s="7" t="s">
        <v>1819</v>
      </c>
      <c r="H2132" s="8"/>
    </row>
    <row r="2133" ht="25" customHeight="1" spans="1:8">
      <c r="A2133" s="6">
        <v>2131</v>
      </c>
      <c r="B2133" s="7" t="str">
        <f t="shared" si="500"/>
        <v>103</v>
      </c>
      <c r="C2133" s="7" t="s">
        <v>663</v>
      </c>
      <c r="D2133" s="7" t="s">
        <v>664</v>
      </c>
      <c r="E2133" s="7" t="str">
        <f>"符海龙"</f>
        <v>符海龙</v>
      </c>
      <c r="F2133" s="7" t="str">
        <f t="shared" si="510"/>
        <v>男</v>
      </c>
      <c r="G2133" s="7" t="s">
        <v>1820</v>
      </c>
      <c r="H2133" s="8"/>
    </row>
    <row r="2134" ht="25" customHeight="1" spans="1:8">
      <c r="A2134" s="6">
        <v>2132</v>
      </c>
      <c r="B2134" s="7" t="str">
        <f t="shared" si="500"/>
        <v>103</v>
      </c>
      <c r="C2134" s="7" t="s">
        <v>663</v>
      </c>
      <c r="D2134" s="7" t="s">
        <v>664</v>
      </c>
      <c r="E2134" s="7" t="str">
        <f>"杨志真"</f>
        <v>杨志真</v>
      </c>
      <c r="F2134" s="7" t="str">
        <f t="shared" si="510"/>
        <v>男</v>
      </c>
      <c r="G2134" s="7" t="s">
        <v>1821</v>
      </c>
      <c r="H2134" s="8"/>
    </row>
    <row r="2135" ht="25" customHeight="1" spans="1:8">
      <c r="A2135" s="6">
        <v>2133</v>
      </c>
      <c r="B2135" s="7" t="str">
        <f t="shared" si="500"/>
        <v>103</v>
      </c>
      <c r="C2135" s="7" t="s">
        <v>663</v>
      </c>
      <c r="D2135" s="7" t="s">
        <v>664</v>
      </c>
      <c r="E2135" s="7" t="str">
        <f>"方妍"</f>
        <v>方妍</v>
      </c>
      <c r="F2135" s="7" t="str">
        <f t="shared" ref="F2135:F2139" si="511">"女"</f>
        <v>女</v>
      </c>
      <c r="G2135" s="7" t="s">
        <v>1822</v>
      </c>
      <c r="H2135" s="8"/>
    </row>
    <row r="2136" ht="25" customHeight="1" spans="1:8">
      <c r="A2136" s="6">
        <v>2134</v>
      </c>
      <c r="B2136" s="7" t="str">
        <f t="shared" si="500"/>
        <v>103</v>
      </c>
      <c r="C2136" s="7" t="s">
        <v>663</v>
      </c>
      <c r="D2136" s="7" t="s">
        <v>664</v>
      </c>
      <c r="E2136" s="7" t="str">
        <f>"唐赞嵩"</f>
        <v>唐赞嵩</v>
      </c>
      <c r="F2136" s="7" t="str">
        <f>"男"</f>
        <v>男</v>
      </c>
      <c r="G2136" s="7" t="s">
        <v>1823</v>
      </c>
      <c r="H2136" s="8"/>
    </row>
    <row r="2137" ht="25" customHeight="1" spans="1:8">
      <c r="A2137" s="6">
        <v>2135</v>
      </c>
      <c r="B2137" s="7" t="str">
        <f t="shared" si="500"/>
        <v>103</v>
      </c>
      <c r="C2137" s="7" t="s">
        <v>663</v>
      </c>
      <c r="D2137" s="7" t="s">
        <v>664</v>
      </c>
      <c r="E2137" s="7" t="str">
        <f>"胡杨"</f>
        <v>胡杨</v>
      </c>
      <c r="F2137" s="7" t="str">
        <f t="shared" si="511"/>
        <v>女</v>
      </c>
      <c r="G2137" s="7" t="s">
        <v>147</v>
      </c>
      <c r="H2137" s="8"/>
    </row>
    <row r="2138" ht="25" customHeight="1" spans="1:8">
      <c r="A2138" s="6">
        <v>2136</v>
      </c>
      <c r="B2138" s="7" t="str">
        <f t="shared" si="500"/>
        <v>103</v>
      </c>
      <c r="C2138" s="7" t="s">
        <v>663</v>
      </c>
      <c r="D2138" s="7" t="s">
        <v>664</v>
      </c>
      <c r="E2138" s="7" t="str">
        <f>"文秀艳"</f>
        <v>文秀艳</v>
      </c>
      <c r="F2138" s="7" t="str">
        <f t="shared" si="511"/>
        <v>女</v>
      </c>
      <c r="G2138" s="7" t="s">
        <v>1824</v>
      </c>
      <c r="H2138" s="8"/>
    </row>
    <row r="2139" ht="25" customHeight="1" spans="1:8">
      <c r="A2139" s="6">
        <v>2137</v>
      </c>
      <c r="B2139" s="7" t="str">
        <f t="shared" si="500"/>
        <v>103</v>
      </c>
      <c r="C2139" s="7" t="s">
        <v>663</v>
      </c>
      <c r="D2139" s="7" t="s">
        <v>664</v>
      </c>
      <c r="E2139" s="7" t="str">
        <f>"张静静"</f>
        <v>张静静</v>
      </c>
      <c r="F2139" s="7" t="str">
        <f t="shared" si="511"/>
        <v>女</v>
      </c>
      <c r="G2139" s="7" t="s">
        <v>1825</v>
      </c>
      <c r="H2139" s="8"/>
    </row>
    <row r="2140" ht="25" customHeight="1" spans="1:8">
      <c r="A2140" s="6">
        <v>2138</v>
      </c>
      <c r="B2140" s="7" t="str">
        <f t="shared" si="500"/>
        <v>103</v>
      </c>
      <c r="C2140" s="7" t="s">
        <v>663</v>
      </c>
      <c r="D2140" s="7" t="s">
        <v>664</v>
      </c>
      <c r="E2140" s="7" t="str">
        <f>"陈善峰"</f>
        <v>陈善峰</v>
      </c>
      <c r="F2140" s="7" t="str">
        <f>"男"</f>
        <v>男</v>
      </c>
      <c r="G2140" s="7" t="s">
        <v>1826</v>
      </c>
      <c r="H2140" s="8"/>
    </row>
    <row r="2141" ht="25" customHeight="1" spans="1:8">
      <c r="A2141" s="6">
        <v>2139</v>
      </c>
      <c r="B2141" s="7" t="str">
        <f t="shared" si="500"/>
        <v>103</v>
      </c>
      <c r="C2141" s="7" t="s">
        <v>663</v>
      </c>
      <c r="D2141" s="7" t="s">
        <v>664</v>
      </c>
      <c r="E2141" s="7" t="str">
        <f>"符秋霞"</f>
        <v>符秋霞</v>
      </c>
      <c r="F2141" s="7" t="str">
        <f t="shared" ref="F2141:F2146" si="512">"女"</f>
        <v>女</v>
      </c>
      <c r="G2141" s="7" t="s">
        <v>905</v>
      </c>
      <c r="H2141" s="8"/>
    </row>
    <row r="2142" ht="25" customHeight="1" spans="1:8">
      <c r="A2142" s="6">
        <v>2140</v>
      </c>
      <c r="B2142" s="7" t="str">
        <f t="shared" si="500"/>
        <v>103</v>
      </c>
      <c r="C2142" s="7" t="s">
        <v>663</v>
      </c>
      <c r="D2142" s="7" t="s">
        <v>664</v>
      </c>
      <c r="E2142" s="7" t="str">
        <f>"吴高毅"</f>
        <v>吴高毅</v>
      </c>
      <c r="F2142" s="7" t="str">
        <f>"男"</f>
        <v>男</v>
      </c>
      <c r="G2142" s="7" t="s">
        <v>1827</v>
      </c>
      <c r="H2142" s="8"/>
    </row>
    <row r="2143" ht="25" customHeight="1" spans="1:8">
      <c r="A2143" s="6">
        <v>2141</v>
      </c>
      <c r="B2143" s="7" t="str">
        <f t="shared" si="500"/>
        <v>103</v>
      </c>
      <c r="C2143" s="7" t="s">
        <v>663</v>
      </c>
      <c r="D2143" s="7" t="s">
        <v>664</v>
      </c>
      <c r="E2143" s="7" t="str">
        <f>"杨豫"</f>
        <v>杨豫</v>
      </c>
      <c r="F2143" s="7" t="str">
        <f t="shared" si="512"/>
        <v>女</v>
      </c>
      <c r="G2143" s="7" t="s">
        <v>1828</v>
      </c>
      <c r="H2143" s="8"/>
    </row>
    <row r="2144" ht="25" customHeight="1" spans="1:8">
      <c r="A2144" s="6">
        <v>2142</v>
      </c>
      <c r="B2144" s="7" t="str">
        <f t="shared" si="500"/>
        <v>103</v>
      </c>
      <c r="C2144" s="7" t="s">
        <v>663</v>
      </c>
      <c r="D2144" s="7" t="s">
        <v>664</v>
      </c>
      <c r="E2144" s="7" t="str">
        <f>"龙莹瑾"</f>
        <v>龙莹瑾</v>
      </c>
      <c r="F2144" s="7" t="str">
        <f t="shared" si="512"/>
        <v>女</v>
      </c>
      <c r="G2144" s="7" t="s">
        <v>1829</v>
      </c>
      <c r="H2144" s="8"/>
    </row>
    <row r="2145" ht="25" customHeight="1" spans="1:8">
      <c r="A2145" s="6">
        <v>2143</v>
      </c>
      <c r="B2145" s="7" t="str">
        <f t="shared" si="500"/>
        <v>103</v>
      </c>
      <c r="C2145" s="7" t="s">
        <v>663</v>
      </c>
      <c r="D2145" s="7" t="s">
        <v>664</v>
      </c>
      <c r="E2145" s="7" t="str">
        <f>"凌楚怡"</f>
        <v>凌楚怡</v>
      </c>
      <c r="F2145" s="7" t="str">
        <f t="shared" si="512"/>
        <v>女</v>
      </c>
      <c r="G2145" s="7" t="s">
        <v>606</v>
      </c>
      <c r="H2145" s="8"/>
    </row>
    <row r="2146" ht="25" customHeight="1" spans="1:8">
      <c r="A2146" s="6">
        <v>2144</v>
      </c>
      <c r="B2146" s="7" t="str">
        <f t="shared" si="500"/>
        <v>103</v>
      </c>
      <c r="C2146" s="7" t="s">
        <v>663</v>
      </c>
      <c r="D2146" s="7" t="s">
        <v>664</v>
      </c>
      <c r="E2146" s="7" t="str">
        <f>"邢娟娟"</f>
        <v>邢娟娟</v>
      </c>
      <c r="F2146" s="7" t="str">
        <f t="shared" si="512"/>
        <v>女</v>
      </c>
      <c r="G2146" s="7" t="s">
        <v>1830</v>
      </c>
      <c r="H2146" s="8"/>
    </row>
    <row r="2147" ht="25" customHeight="1" spans="1:8">
      <c r="A2147" s="6">
        <v>2145</v>
      </c>
      <c r="B2147" s="7" t="str">
        <f t="shared" si="500"/>
        <v>103</v>
      </c>
      <c r="C2147" s="7" t="s">
        <v>663</v>
      </c>
      <c r="D2147" s="7" t="s">
        <v>664</v>
      </c>
      <c r="E2147" s="7" t="str">
        <f>"黄泽斌"</f>
        <v>黄泽斌</v>
      </c>
      <c r="F2147" s="7" t="str">
        <f t="shared" ref="F2147:F2151" si="513">"男"</f>
        <v>男</v>
      </c>
      <c r="G2147" s="7" t="s">
        <v>1831</v>
      </c>
      <c r="H2147" s="8"/>
    </row>
    <row r="2148" ht="25" customHeight="1" spans="1:8">
      <c r="A2148" s="6">
        <v>2146</v>
      </c>
      <c r="B2148" s="7" t="str">
        <f t="shared" si="500"/>
        <v>103</v>
      </c>
      <c r="C2148" s="7" t="s">
        <v>663</v>
      </c>
      <c r="D2148" s="7" t="s">
        <v>664</v>
      </c>
      <c r="E2148" s="7" t="str">
        <f>"谭子峰"</f>
        <v>谭子峰</v>
      </c>
      <c r="F2148" s="7" t="str">
        <f t="shared" si="513"/>
        <v>男</v>
      </c>
      <c r="G2148" s="7" t="s">
        <v>1572</v>
      </c>
      <c r="H2148" s="8"/>
    </row>
    <row r="2149" ht="25" customHeight="1" spans="1:8">
      <c r="A2149" s="6">
        <v>2147</v>
      </c>
      <c r="B2149" s="7" t="str">
        <f t="shared" si="500"/>
        <v>103</v>
      </c>
      <c r="C2149" s="7" t="s">
        <v>663</v>
      </c>
      <c r="D2149" s="7" t="s">
        <v>664</v>
      </c>
      <c r="E2149" s="7" t="str">
        <f>"邢增桢"</f>
        <v>邢增桢</v>
      </c>
      <c r="F2149" s="7" t="str">
        <f t="shared" si="513"/>
        <v>男</v>
      </c>
      <c r="G2149" s="7" t="s">
        <v>1342</v>
      </c>
      <c r="H2149" s="8"/>
    </row>
    <row r="2150" ht="25" customHeight="1" spans="1:8">
      <c r="A2150" s="6">
        <v>2148</v>
      </c>
      <c r="B2150" s="7" t="str">
        <f t="shared" si="500"/>
        <v>103</v>
      </c>
      <c r="C2150" s="7" t="s">
        <v>663</v>
      </c>
      <c r="D2150" s="7" t="s">
        <v>664</v>
      </c>
      <c r="E2150" s="7" t="str">
        <f>"卞在成"</f>
        <v>卞在成</v>
      </c>
      <c r="F2150" s="7" t="str">
        <f t="shared" si="513"/>
        <v>男</v>
      </c>
      <c r="G2150" s="7" t="s">
        <v>1832</v>
      </c>
      <c r="H2150" s="8"/>
    </row>
    <row r="2151" ht="25" customHeight="1" spans="1:8">
      <c r="A2151" s="6">
        <v>2149</v>
      </c>
      <c r="B2151" s="7" t="str">
        <f t="shared" si="500"/>
        <v>103</v>
      </c>
      <c r="C2151" s="7" t="s">
        <v>663</v>
      </c>
      <c r="D2151" s="7" t="s">
        <v>664</v>
      </c>
      <c r="E2151" s="7" t="str">
        <f>"梁升煌"</f>
        <v>梁升煌</v>
      </c>
      <c r="F2151" s="7" t="str">
        <f t="shared" si="513"/>
        <v>男</v>
      </c>
      <c r="G2151" s="7" t="s">
        <v>1101</v>
      </c>
      <c r="H2151" s="8"/>
    </row>
    <row r="2152" ht="25" customHeight="1" spans="1:8">
      <c r="A2152" s="6">
        <v>2150</v>
      </c>
      <c r="B2152" s="7" t="str">
        <f t="shared" ref="B2152:B2174" si="514">"103"</f>
        <v>103</v>
      </c>
      <c r="C2152" s="7" t="s">
        <v>663</v>
      </c>
      <c r="D2152" s="7" t="s">
        <v>664</v>
      </c>
      <c r="E2152" s="7" t="str">
        <f>"符雪丹"</f>
        <v>符雪丹</v>
      </c>
      <c r="F2152" s="7" t="str">
        <f t="shared" ref="F2152:F2156" si="515">"女"</f>
        <v>女</v>
      </c>
      <c r="G2152" s="7" t="s">
        <v>1582</v>
      </c>
      <c r="H2152" s="8"/>
    </row>
    <row r="2153" ht="25" customHeight="1" spans="1:8">
      <c r="A2153" s="6">
        <v>2151</v>
      </c>
      <c r="B2153" s="7" t="str">
        <f t="shared" si="514"/>
        <v>103</v>
      </c>
      <c r="C2153" s="7" t="s">
        <v>663</v>
      </c>
      <c r="D2153" s="7" t="s">
        <v>664</v>
      </c>
      <c r="E2153" s="7" t="str">
        <f>"李真"</f>
        <v>李真</v>
      </c>
      <c r="F2153" s="7" t="str">
        <f t="shared" si="515"/>
        <v>女</v>
      </c>
      <c r="G2153" s="7" t="s">
        <v>1079</v>
      </c>
      <c r="H2153" s="8"/>
    </row>
    <row r="2154" ht="25" customHeight="1" spans="1:8">
      <c r="A2154" s="6">
        <v>2152</v>
      </c>
      <c r="B2154" s="7" t="str">
        <f t="shared" si="514"/>
        <v>103</v>
      </c>
      <c r="C2154" s="7" t="s">
        <v>663</v>
      </c>
      <c r="D2154" s="7" t="s">
        <v>664</v>
      </c>
      <c r="E2154" s="7" t="str">
        <f>"李燕娣"</f>
        <v>李燕娣</v>
      </c>
      <c r="F2154" s="7" t="str">
        <f t="shared" si="515"/>
        <v>女</v>
      </c>
      <c r="G2154" s="7" t="s">
        <v>1833</v>
      </c>
      <c r="H2154" s="8"/>
    </row>
    <row r="2155" ht="25" customHeight="1" spans="1:8">
      <c r="A2155" s="6">
        <v>2153</v>
      </c>
      <c r="B2155" s="7" t="str">
        <f t="shared" si="514"/>
        <v>103</v>
      </c>
      <c r="C2155" s="7" t="s">
        <v>663</v>
      </c>
      <c r="D2155" s="7" t="s">
        <v>664</v>
      </c>
      <c r="E2155" s="7" t="str">
        <f>"黄秋枫"</f>
        <v>黄秋枫</v>
      </c>
      <c r="F2155" s="7" t="str">
        <f t="shared" si="515"/>
        <v>女</v>
      </c>
      <c r="G2155" s="7" t="s">
        <v>1834</v>
      </c>
      <c r="H2155" s="8"/>
    </row>
    <row r="2156" ht="25" customHeight="1" spans="1:8">
      <c r="A2156" s="6">
        <v>2154</v>
      </c>
      <c r="B2156" s="7" t="str">
        <f t="shared" si="514"/>
        <v>103</v>
      </c>
      <c r="C2156" s="7" t="s">
        <v>663</v>
      </c>
      <c r="D2156" s="7" t="s">
        <v>664</v>
      </c>
      <c r="E2156" s="7" t="str">
        <f>"郭馨钰"</f>
        <v>郭馨钰</v>
      </c>
      <c r="F2156" s="7" t="str">
        <f t="shared" si="515"/>
        <v>女</v>
      </c>
      <c r="G2156" s="7" t="s">
        <v>1835</v>
      </c>
      <c r="H2156" s="8"/>
    </row>
    <row r="2157" ht="25" customHeight="1" spans="1:8">
      <c r="A2157" s="6">
        <v>2155</v>
      </c>
      <c r="B2157" s="7" t="str">
        <f t="shared" si="514"/>
        <v>103</v>
      </c>
      <c r="C2157" s="7" t="s">
        <v>663</v>
      </c>
      <c r="D2157" s="7" t="s">
        <v>664</v>
      </c>
      <c r="E2157" s="7" t="str">
        <f>"韦培培"</f>
        <v>韦培培</v>
      </c>
      <c r="F2157" s="7" t="str">
        <f t="shared" ref="F2157:F2161" si="516">"男"</f>
        <v>男</v>
      </c>
      <c r="G2157" s="7" t="s">
        <v>1836</v>
      </c>
      <c r="H2157" s="8"/>
    </row>
    <row r="2158" ht="25" customHeight="1" spans="1:8">
      <c r="A2158" s="6">
        <v>2156</v>
      </c>
      <c r="B2158" s="7" t="str">
        <f t="shared" si="514"/>
        <v>103</v>
      </c>
      <c r="C2158" s="7" t="s">
        <v>663</v>
      </c>
      <c r="D2158" s="7" t="s">
        <v>664</v>
      </c>
      <c r="E2158" s="7" t="str">
        <f>"符云欣"</f>
        <v>符云欣</v>
      </c>
      <c r="F2158" s="7" t="str">
        <f t="shared" ref="F2158:F2162" si="517">"女"</f>
        <v>女</v>
      </c>
      <c r="G2158" s="7" t="s">
        <v>1369</v>
      </c>
      <c r="H2158" s="8"/>
    </row>
    <row r="2159" ht="25" customHeight="1" spans="1:8">
      <c r="A2159" s="6">
        <v>2157</v>
      </c>
      <c r="B2159" s="7" t="str">
        <f t="shared" si="514"/>
        <v>103</v>
      </c>
      <c r="C2159" s="7" t="s">
        <v>663</v>
      </c>
      <c r="D2159" s="7" t="s">
        <v>664</v>
      </c>
      <c r="E2159" s="7" t="str">
        <f>"杨丹丹"</f>
        <v>杨丹丹</v>
      </c>
      <c r="F2159" s="7" t="str">
        <f t="shared" si="517"/>
        <v>女</v>
      </c>
      <c r="G2159" s="7" t="s">
        <v>375</v>
      </c>
      <c r="H2159" s="8"/>
    </row>
    <row r="2160" ht="25" customHeight="1" spans="1:8">
      <c r="A2160" s="6">
        <v>2158</v>
      </c>
      <c r="B2160" s="7" t="str">
        <f t="shared" si="514"/>
        <v>103</v>
      </c>
      <c r="C2160" s="7" t="s">
        <v>663</v>
      </c>
      <c r="D2160" s="7" t="s">
        <v>664</v>
      </c>
      <c r="E2160" s="7" t="str">
        <f>"张钦智"</f>
        <v>张钦智</v>
      </c>
      <c r="F2160" s="7" t="str">
        <f t="shared" si="516"/>
        <v>男</v>
      </c>
      <c r="G2160" s="7" t="s">
        <v>1626</v>
      </c>
      <c r="H2160" s="8"/>
    </row>
    <row r="2161" ht="25" customHeight="1" spans="1:8">
      <c r="A2161" s="6">
        <v>2159</v>
      </c>
      <c r="B2161" s="7" t="str">
        <f t="shared" si="514"/>
        <v>103</v>
      </c>
      <c r="C2161" s="7" t="s">
        <v>663</v>
      </c>
      <c r="D2161" s="7" t="s">
        <v>664</v>
      </c>
      <c r="E2161" s="7" t="str">
        <f>"张乔迪"</f>
        <v>张乔迪</v>
      </c>
      <c r="F2161" s="7" t="str">
        <f t="shared" si="516"/>
        <v>男</v>
      </c>
      <c r="G2161" s="7" t="s">
        <v>926</v>
      </c>
      <c r="H2161" s="8"/>
    </row>
    <row r="2162" ht="25" customHeight="1" spans="1:8">
      <c r="A2162" s="6">
        <v>2160</v>
      </c>
      <c r="B2162" s="7" t="str">
        <f t="shared" si="514"/>
        <v>103</v>
      </c>
      <c r="C2162" s="7" t="s">
        <v>663</v>
      </c>
      <c r="D2162" s="7" t="s">
        <v>664</v>
      </c>
      <c r="E2162" s="7" t="str">
        <f>"符坤究"</f>
        <v>符坤究</v>
      </c>
      <c r="F2162" s="7" t="str">
        <f t="shared" si="517"/>
        <v>女</v>
      </c>
      <c r="G2162" s="7" t="s">
        <v>1837</v>
      </c>
      <c r="H2162" s="8"/>
    </row>
    <row r="2163" ht="25" customHeight="1" spans="1:8">
      <c r="A2163" s="6">
        <v>2161</v>
      </c>
      <c r="B2163" s="7" t="str">
        <f t="shared" si="514"/>
        <v>103</v>
      </c>
      <c r="C2163" s="7" t="s">
        <v>663</v>
      </c>
      <c r="D2163" s="7" t="s">
        <v>664</v>
      </c>
      <c r="E2163" s="7" t="str">
        <f>"苏兴健"</f>
        <v>苏兴健</v>
      </c>
      <c r="F2163" s="7" t="str">
        <f t="shared" ref="F2163:F2169" si="518">"男"</f>
        <v>男</v>
      </c>
      <c r="G2163" s="7" t="s">
        <v>1838</v>
      </c>
      <c r="H2163" s="8"/>
    </row>
    <row r="2164" ht="25" customHeight="1" spans="1:8">
      <c r="A2164" s="6">
        <v>2162</v>
      </c>
      <c r="B2164" s="7" t="str">
        <f t="shared" si="514"/>
        <v>103</v>
      </c>
      <c r="C2164" s="7" t="s">
        <v>663</v>
      </c>
      <c r="D2164" s="7" t="s">
        <v>664</v>
      </c>
      <c r="E2164" s="7" t="str">
        <f>"裴玉妃"</f>
        <v>裴玉妃</v>
      </c>
      <c r="F2164" s="7" t="str">
        <f t="shared" ref="F2164:F2166" si="519">"女"</f>
        <v>女</v>
      </c>
      <c r="G2164" s="7" t="s">
        <v>170</v>
      </c>
      <c r="H2164" s="8"/>
    </row>
    <row r="2165" ht="25" customHeight="1" spans="1:8">
      <c r="A2165" s="6">
        <v>2163</v>
      </c>
      <c r="B2165" s="7" t="str">
        <f t="shared" si="514"/>
        <v>103</v>
      </c>
      <c r="C2165" s="7" t="s">
        <v>663</v>
      </c>
      <c r="D2165" s="7" t="s">
        <v>664</v>
      </c>
      <c r="E2165" s="7" t="str">
        <f>"李慧"</f>
        <v>李慧</v>
      </c>
      <c r="F2165" s="7" t="str">
        <f t="shared" si="519"/>
        <v>女</v>
      </c>
      <c r="G2165" s="7" t="s">
        <v>1839</v>
      </c>
      <c r="H2165" s="8"/>
    </row>
    <row r="2166" ht="25" customHeight="1" spans="1:8">
      <c r="A2166" s="6">
        <v>2164</v>
      </c>
      <c r="B2166" s="7" t="str">
        <f t="shared" si="514"/>
        <v>103</v>
      </c>
      <c r="C2166" s="7" t="s">
        <v>663</v>
      </c>
      <c r="D2166" s="7" t="s">
        <v>664</v>
      </c>
      <c r="E2166" s="7" t="str">
        <f>"刘芯铭"</f>
        <v>刘芯铭</v>
      </c>
      <c r="F2166" s="7" t="str">
        <f t="shared" si="519"/>
        <v>女</v>
      </c>
      <c r="G2166" s="7" t="s">
        <v>1840</v>
      </c>
      <c r="H2166" s="8"/>
    </row>
    <row r="2167" ht="25" customHeight="1" spans="1:8">
      <c r="A2167" s="6">
        <v>2165</v>
      </c>
      <c r="B2167" s="7" t="str">
        <f t="shared" si="514"/>
        <v>103</v>
      </c>
      <c r="C2167" s="7" t="s">
        <v>663</v>
      </c>
      <c r="D2167" s="7" t="s">
        <v>664</v>
      </c>
      <c r="E2167" s="7" t="str">
        <f>"吴承轩"</f>
        <v>吴承轩</v>
      </c>
      <c r="F2167" s="7" t="str">
        <f t="shared" si="518"/>
        <v>男</v>
      </c>
      <c r="G2167" s="7" t="s">
        <v>1841</v>
      </c>
      <c r="H2167" s="8"/>
    </row>
    <row r="2168" ht="25" customHeight="1" spans="1:8">
      <c r="A2168" s="6">
        <v>2166</v>
      </c>
      <c r="B2168" s="7" t="str">
        <f t="shared" si="514"/>
        <v>103</v>
      </c>
      <c r="C2168" s="7" t="s">
        <v>663</v>
      </c>
      <c r="D2168" s="7" t="s">
        <v>664</v>
      </c>
      <c r="E2168" s="7" t="str">
        <f>"陈治萃"</f>
        <v>陈治萃</v>
      </c>
      <c r="F2168" s="7" t="str">
        <f t="shared" si="518"/>
        <v>男</v>
      </c>
      <c r="G2168" s="7" t="s">
        <v>445</v>
      </c>
      <c r="H2168" s="8"/>
    </row>
    <row r="2169" ht="25" customHeight="1" spans="1:8">
      <c r="A2169" s="6">
        <v>2167</v>
      </c>
      <c r="B2169" s="7" t="str">
        <f t="shared" si="514"/>
        <v>103</v>
      </c>
      <c r="C2169" s="7" t="s">
        <v>663</v>
      </c>
      <c r="D2169" s="7" t="s">
        <v>664</v>
      </c>
      <c r="E2169" s="7" t="str">
        <f>"麦伟明"</f>
        <v>麦伟明</v>
      </c>
      <c r="F2169" s="7" t="str">
        <f t="shared" si="518"/>
        <v>男</v>
      </c>
      <c r="G2169" s="7" t="s">
        <v>1842</v>
      </c>
      <c r="H2169" s="8"/>
    </row>
    <row r="2170" ht="25" customHeight="1" spans="1:8">
      <c r="A2170" s="6">
        <v>2168</v>
      </c>
      <c r="B2170" s="7" t="str">
        <f t="shared" si="514"/>
        <v>103</v>
      </c>
      <c r="C2170" s="7" t="s">
        <v>663</v>
      </c>
      <c r="D2170" s="7" t="s">
        <v>664</v>
      </c>
      <c r="E2170" s="7" t="str">
        <f>"甘雨"</f>
        <v>甘雨</v>
      </c>
      <c r="F2170" s="7" t="str">
        <f t="shared" ref="F2170:F2174" si="520">"女"</f>
        <v>女</v>
      </c>
      <c r="G2170" s="7" t="s">
        <v>1843</v>
      </c>
      <c r="H2170" s="8"/>
    </row>
    <row r="2171" ht="25" customHeight="1" spans="1:8">
      <c r="A2171" s="6">
        <v>2169</v>
      </c>
      <c r="B2171" s="7" t="str">
        <f t="shared" si="514"/>
        <v>103</v>
      </c>
      <c r="C2171" s="7" t="s">
        <v>663</v>
      </c>
      <c r="D2171" s="7" t="s">
        <v>664</v>
      </c>
      <c r="E2171" s="7" t="str">
        <f>"蔡嘉嘉"</f>
        <v>蔡嘉嘉</v>
      </c>
      <c r="F2171" s="7" t="str">
        <f t="shared" si="520"/>
        <v>女</v>
      </c>
      <c r="G2171" s="7" t="s">
        <v>1844</v>
      </c>
      <c r="H2171" s="8"/>
    </row>
    <row r="2172" ht="25" customHeight="1" spans="1:8">
      <c r="A2172" s="6">
        <v>2170</v>
      </c>
      <c r="B2172" s="7" t="str">
        <f t="shared" si="514"/>
        <v>103</v>
      </c>
      <c r="C2172" s="7" t="s">
        <v>663</v>
      </c>
      <c r="D2172" s="7" t="s">
        <v>664</v>
      </c>
      <c r="E2172" s="7" t="str">
        <f>"丁雨洁"</f>
        <v>丁雨洁</v>
      </c>
      <c r="F2172" s="7" t="str">
        <f t="shared" si="520"/>
        <v>女</v>
      </c>
      <c r="G2172" s="7" t="s">
        <v>1845</v>
      </c>
      <c r="H2172" s="8"/>
    </row>
    <row r="2173" ht="25" customHeight="1" spans="1:8">
      <c r="A2173" s="6">
        <v>2171</v>
      </c>
      <c r="B2173" s="7" t="str">
        <f t="shared" si="514"/>
        <v>103</v>
      </c>
      <c r="C2173" s="7" t="s">
        <v>663</v>
      </c>
      <c r="D2173" s="7" t="s">
        <v>664</v>
      </c>
      <c r="E2173" s="7" t="str">
        <f>"周百汇"</f>
        <v>周百汇</v>
      </c>
      <c r="F2173" s="7" t="str">
        <f t="shared" si="520"/>
        <v>女</v>
      </c>
      <c r="G2173" s="7" t="s">
        <v>1846</v>
      </c>
      <c r="H2173" s="8"/>
    </row>
    <row r="2174" ht="25" customHeight="1" spans="1:8">
      <c r="A2174" s="6">
        <v>2172</v>
      </c>
      <c r="B2174" s="7" t="str">
        <f t="shared" si="514"/>
        <v>103</v>
      </c>
      <c r="C2174" s="7" t="s">
        <v>663</v>
      </c>
      <c r="D2174" s="7" t="s">
        <v>664</v>
      </c>
      <c r="E2174" s="7" t="str">
        <f>"梁高丹"</f>
        <v>梁高丹</v>
      </c>
      <c r="F2174" s="7" t="str">
        <f t="shared" si="520"/>
        <v>女</v>
      </c>
      <c r="G2174" s="7" t="s">
        <v>1847</v>
      </c>
      <c r="H2174" s="8"/>
    </row>
    <row r="2175" ht="25" customHeight="1" spans="1:8">
      <c r="A2175" s="6">
        <v>2173</v>
      </c>
      <c r="B2175" s="7" t="str">
        <f t="shared" ref="B2175:B2238" si="521">"104"</f>
        <v>104</v>
      </c>
      <c r="C2175" s="7" t="s">
        <v>1848</v>
      </c>
      <c r="D2175" s="7" t="s">
        <v>1849</v>
      </c>
      <c r="E2175" s="7" t="str">
        <f>"吉儒刚"</f>
        <v>吉儒刚</v>
      </c>
      <c r="F2175" s="7" t="str">
        <f t="shared" ref="F2175:F2183" si="522">"男"</f>
        <v>男</v>
      </c>
      <c r="G2175" s="7" t="s">
        <v>1390</v>
      </c>
      <c r="H2175" s="8"/>
    </row>
    <row r="2176" ht="25" customHeight="1" spans="1:8">
      <c r="A2176" s="6">
        <v>2174</v>
      </c>
      <c r="B2176" s="7" t="str">
        <f t="shared" si="521"/>
        <v>104</v>
      </c>
      <c r="C2176" s="7" t="s">
        <v>1848</v>
      </c>
      <c r="D2176" s="7" t="s">
        <v>1849</v>
      </c>
      <c r="E2176" s="7" t="str">
        <f>"曹鹏宇"</f>
        <v>曹鹏宇</v>
      </c>
      <c r="F2176" s="7" t="str">
        <f t="shared" si="522"/>
        <v>男</v>
      </c>
      <c r="G2176" s="7" t="s">
        <v>1850</v>
      </c>
      <c r="H2176" s="8"/>
    </row>
    <row r="2177" ht="25" customHeight="1" spans="1:8">
      <c r="A2177" s="6">
        <v>2175</v>
      </c>
      <c r="B2177" s="7" t="str">
        <f t="shared" si="521"/>
        <v>104</v>
      </c>
      <c r="C2177" s="7" t="s">
        <v>1848</v>
      </c>
      <c r="D2177" s="7" t="s">
        <v>1849</v>
      </c>
      <c r="E2177" s="7" t="str">
        <f>"钟雅洁"</f>
        <v>钟雅洁</v>
      </c>
      <c r="F2177" s="7" t="str">
        <f>"女"</f>
        <v>女</v>
      </c>
      <c r="G2177" s="7" t="s">
        <v>262</v>
      </c>
      <c r="H2177" s="8"/>
    </row>
    <row r="2178" ht="25" customHeight="1" spans="1:8">
      <c r="A2178" s="6">
        <v>2176</v>
      </c>
      <c r="B2178" s="7" t="str">
        <f t="shared" si="521"/>
        <v>104</v>
      </c>
      <c r="C2178" s="7" t="s">
        <v>1848</v>
      </c>
      <c r="D2178" s="7" t="s">
        <v>1849</v>
      </c>
      <c r="E2178" s="7" t="str">
        <f>"叶秀娟"</f>
        <v>叶秀娟</v>
      </c>
      <c r="F2178" s="7" t="str">
        <f>"女"</f>
        <v>女</v>
      </c>
      <c r="G2178" s="7" t="s">
        <v>1851</v>
      </c>
      <c r="H2178" s="8"/>
    </row>
    <row r="2179" ht="25" customHeight="1" spans="1:8">
      <c r="A2179" s="6">
        <v>2177</v>
      </c>
      <c r="B2179" s="7" t="str">
        <f t="shared" si="521"/>
        <v>104</v>
      </c>
      <c r="C2179" s="7" t="s">
        <v>1848</v>
      </c>
      <c r="D2179" s="7" t="s">
        <v>1849</v>
      </c>
      <c r="E2179" s="7" t="str">
        <f>"王贻文"</f>
        <v>王贻文</v>
      </c>
      <c r="F2179" s="7" t="str">
        <f t="shared" si="522"/>
        <v>男</v>
      </c>
      <c r="G2179" s="7" t="s">
        <v>1852</v>
      </c>
      <c r="H2179" s="8"/>
    </row>
    <row r="2180" ht="25" customHeight="1" spans="1:8">
      <c r="A2180" s="6">
        <v>2178</v>
      </c>
      <c r="B2180" s="7" t="str">
        <f t="shared" si="521"/>
        <v>104</v>
      </c>
      <c r="C2180" s="7" t="s">
        <v>1848</v>
      </c>
      <c r="D2180" s="7" t="s">
        <v>1849</v>
      </c>
      <c r="E2180" s="7" t="str">
        <f>"赵伟杰"</f>
        <v>赵伟杰</v>
      </c>
      <c r="F2180" s="7" t="str">
        <f t="shared" si="522"/>
        <v>男</v>
      </c>
      <c r="G2180" s="7" t="s">
        <v>1853</v>
      </c>
      <c r="H2180" s="8"/>
    </row>
    <row r="2181" ht="25" customHeight="1" spans="1:8">
      <c r="A2181" s="6">
        <v>2179</v>
      </c>
      <c r="B2181" s="7" t="str">
        <f t="shared" si="521"/>
        <v>104</v>
      </c>
      <c r="C2181" s="7" t="s">
        <v>1848</v>
      </c>
      <c r="D2181" s="7" t="s">
        <v>1849</v>
      </c>
      <c r="E2181" s="7" t="str">
        <f>"罗泽钊"</f>
        <v>罗泽钊</v>
      </c>
      <c r="F2181" s="7" t="str">
        <f t="shared" si="522"/>
        <v>男</v>
      </c>
      <c r="G2181" s="7" t="s">
        <v>1854</v>
      </c>
      <c r="H2181" s="8"/>
    </row>
    <row r="2182" ht="25" customHeight="1" spans="1:8">
      <c r="A2182" s="6">
        <v>2180</v>
      </c>
      <c r="B2182" s="7" t="str">
        <f t="shared" si="521"/>
        <v>104</v>
      </c>
      <c r="C2182" s="7" t="s">
        <v>1848</v>
      </c>
      <c r="D2182" s="7" t="s">
        <v>1849</v>
      </c>
      <c r="E2182" s="7" t="str">
        <f>"汪健"</f>
        <v>汪健</v>
      </c>
      <c r="F2182" s="7" t="str">
        <f t="shared" si="522"/>
        <v>男</v>
      </c>
      <c r="G2182" s="7" t="s">
        <v>1855</v>
      </c>
      <c r="H2182" s="8"/>
    </row>
    <row r="2183" ht="25" customHeight="1" spans="1:8">
      <c r="A2183" s="6">
        <v>2181</v>
      </c>
      <c r="B2183" s="7" t="str">
        <f t="shared" si="521"/>
        <v>104</v>
      </c>
      <c r="C2183" s="7" t="s">
        <v>1848</v>
      </c>
      <c r="D2183" s="7" t="s">
        <v>1849</v>
      </c>
      <c r="E2183" s="7" t="str">
        <f>"王禹"</f>
        <v>王禹</v>
      </c>
      <c r="F2183" s="7" t="str">
        <f t="shared" si="522"/>
        <v>男</v>
      </c>
      <c r="G2183" s="7" t="s">
        <v>1856</v>
      </c>
      <c r="H2183" s="8"/>
    </row>
    <row r="2184" ht="25" customHeight="1" spans="1:8">
      <c r="A2184" s="6">
        <v>2182</v>
      </c>
      <c r="B2184" s="7" t="str">
        <f t="shared" si="521"/>
        <v>104</v>
      </c>
      <c r="C2184" s="7" t="s">
        <v>1848</v>
      </c>
      <c r="D2184" s="7" t="s">
        <v>1849</v>
      </c>
      <c r="E2184" s="7" t="str">
        <f>"佟思懿"</f>
        <v>佟思懿</v>
      </c>
      <c r="F2184" s="7" t="str">
        <f t="shared" ref="F2184:F2188" si="523">"女"</f>
        <v>女</v>
      </c>
      <c r="G2184" s="7" t="s">
        <v>1857</v>
      </c>
      <c r="H2184" s="8"/>
    </row>
    <row r="2185" ht="25" customHeight="1" spans="1:8">
      <c r="A2185" s="6">
        <v>2183</v>
      </c>
      <c r="B2185" s="7" t="str">
        <f t="shared" si="521"/>
        <v>104</v>
      </c>
      <c r="C2185" s="7" t="s">
        <v>1848</v>
      </c>
      <c r="D2185" s="7" t="s">
        <v>1849</v>
      </c>
      <c r="E2185" s="7" t="str">
        <f>"陈苗欣"</f>
        <v>陈苗欣</v>
      </c>
      <c r="F2185" s="7" t="str">
        <f t="shared" si="523"/>
        <v>女</v>
      </c>
      <c r="G2185" s="7" t="s">
        <v>1858</v>
      </c>
      <c r="H2185" s="8"/>
    </row>
    <row r="2186" ht="25" customHeight="1" spans="1:8">
      <c r="A2186" s="6">
        <v>2184</v>
      </c>
      <c r="B2186" s="7" t="str">
        <f t="shared" si="521"/>
        <v>104</v>
      </c>
      <c r="C2186" s="7" t="s">
        <v>1848</v>
      </c>
      <c r="D2186" s="7" t="s">
        <v>1849</v>
      </c>
      <c r="E2186" s="7" t="str">
        <f>"蒋剑"</f>
        <v>蒋剑</v>
      </c>
      <c r="F2186" s="7" t="str">
        <f t="shared" ref="F2186:F2190" si="524">"男"</f>
        <v>男</v>
      </c>
      <c r="G2186" s="7" t="s">
        <v>1859</v>
      </c>
      <c r="H2186" s="8"/>
    </row>
    <row r="2187" ht="25" customHeight="1" spans="1:8">
      <c r="A2187" s="6">
        <v>2185</v>
      </c>
      <c r="B2187" s="7" t="str">
        <f t="shared" si="521"/>
        <v>104</v>
      </c>
      <c r="C2187" s="7" t="s">
        <v>1848</v>
      </c>
      <c r="D2187" s="7" t="s">
        <v>1849</v>
      </c>
      <c r="E2187" s="7" t="str">
        <f>"赵思嘉"</f>
        <v>赵思嘉</v>
      </c>
      <c r="F2187" s="7" t="str">
        <f t="shared" si="523"/>
        <v>女</v>
      </c>
      <c r="G2187" s="7" t="s">
        <v>1860</v>
      </c>
      <c r="H2187" s="8"/>
    </row>
    <row r="2188" ht="25" customHeight="1" spans="1:8">
      <c r="A2188" s="6">
        <v>2186</v>
      </c>
      <c r="B2188" s="7" t="str">
        <f t="shared" si="521"/>
        <v>104</v>
      </c>
      <c r="C2188" s="7" t="s">
        <v>1848</v>
      </c>
      <c r="D2188" s="7" t="s">
        <v>1849</v>
      </c>
      <c r="E2188" s="7" t="str">
        <f>"苏春燕"</f>
        <v>苏春燕</v>
      </c>
      <c r="F2188" s="7" t="str">
        <f t="shared" si="523"/>
        <v>女</v>
      </c>
      <c r="G2188" s="7" t="s">
        <v>1861</v>
      </c>
      <c r="H2188" s="8"/>
    </row>
    <row r="2189" ht="25" customHeight="1" spans="1:8">
      <c r="A2189" s="6">
        <v>2187</v>
      </c>
      <c r="B2189" s="7" t="str">
        <f t="shared" si="521"/>
        <v>104</v>
      </c>
      <c r="C2189" s="7" t="s">
        <v>1848</v>
      </c>
      <c r="D2189" s="7" t="s">
        <v>1849</v>
      </c>
      <c r="E2189" s="7" t="str">
        <f>"陈广汇"</f>
        <v>陈广汇</v>
      </c>
      <c r="F2189" s="7" t="str">
        <f t="shared" si="524"/>
        <v>男</v>
      </c>
      <c r="G2189" s="7" t="s">
        <v>1862</v>
      </c>
      <c r="H2189" s="8"/>
    </row>
    <row r="2190" ht="25" customHeight="1" spans="1:8">
      <c r="A2190" s="6">
        <v>2188</v>
      </c>
      <c r="B2190" s="7" t="str">
        <f t="shared" si="521"/>
        <v>104</v>
      </c>
      <c r="C2190" s="7" t="s">
        <v>1848</v>
      </c>
      <c r="D2190" s="7" t="s">
        <v>1849</v>
      </c>
      <c r="E2190" s="7" t="str">
        <f>"劳宜浩"</f>
        <v>劳宜浩</v>
      </c>
      <c r="F2190" s="7" t="str">
        <f t="shared" si="524"/>
        <v>男</v>
      </c>
      <c r="G2190" s="7" t="s">
        <v>1863</v>
      </c>
      <c r="H2190" s="8"/>
    </row>
    <row r="2191" ht="25" customHeight="1" spans="1:8">
      <c r="A2191" s="6">
        <v>2189</v>
      </c>
      <c r="B2191" s="7" t="str">
        <f t="shared" si="521"/>
        <v>104</v>
      </c>
      <c r="C2191" s="7" t="s">
        <v>1848</v>
      </c>
      <c r="D2191" s="7" t="s">
        <v>1849</v>
      </c>
      <c r="E2191" s="7" t="str">
        <f>"董佳乐"</f>
        <v>董佳乐</v>
      </c>
      <c r="F2191" s="7" t="str">
        <f t="shared" ref="F2191:F2193" si="525">"女"</f>
        <v>女</v>
      </c>
      <c r="G2191" s="7" t="s">
        <v>871</v>
      </c>
      <c r="H2191" s="8"/>
    </row>
    <row r="2192" ht="25" customHeight="1" spans="1:8">
      <c r="A2192" s="6">
        <v>2190</v>
      </c>
      <c r="B2192" s="7" t="str">
        <f t="shared" si="521"/>
        <v>104</v>
      </c>
      <c r="C2192" s="7" t="s">
        <v>1848</v>
      </c>
      <c r="D2192" s="7" t="s">
        <v>1849</v>
      </c>
      <c r="E2192" s="7" t="str">
        <f>"李笑笑"</f>
        <v>李笑笑</v>
      </c>
      <c r="F2192" s="7" t="str">
        <f t="shared" si="525"/>
        <v>女</v>
      </c>
      <c r="G2192" s="7" t="s">
        <v>1864</v>
      </c>
      <c r="H2192" s="8"/>
    </row>
    <row r="2193" ht="25" customHeight="1" spans="1:8">
      <c r="A2193" s="6">
        <v>2191</v>
      </c>
      <c r="B2193" s="7" t="str">
        <f t="shared" si="521"/>
        <v>104</v>
      </c>
      <c r="C2193" s="7" t="s">
        <v>1848</v>
      </c>
      <c r="D2193" s="7" t="s">
        <v>1849</v>
      </c>
      <c r="E2193" s="7" t="str">
        <f>"陈壮婷"</f>
        <v>陈壮婷</v>
      </c>
      <c r="F2193" s="7" t="str">
        <f t="shared" si="525"/>
        <v>女</v>
      </c>
      <c r="G2193" s="7" t="s">
        <v>1865</v>
      </c>
      <c r="H2193" s="8"/>
    </row>
    <row r="2194" ht="25" customHeight="1" spans="1:8">
      <c r="A2194" s="6">
        <v>2192</v>
      </c>
      <c r="B2194" s="7" t="str">
        <f t="shared" si="521"/>
        <v>104</v>
      </c>
      <c r="C2194" s="7" t="s">
        <v>1848</v>
      </c>
      <c r="D2194" s="7" t="s">
        <v>1849</v>
      </c>
      <c r="E2194" s="7" t="str">
        <f>"李致远"</f>
        <v>李致远</v>
      </c>
      <c r="F2194" s="7" t="str">
        <f t="shared" ref="F2194:F2199" si="526">"男"</f>
        <v>男</v>
      </c>
      <c r="G2194" s="7" t="s">
        <v>1866</v>
      </c>
      <c r="H2194" s="8"/>
    </row>
    <row r="2195" ht="25" customHeight="1" spans="1:8">
      <c r="A2195" s="6">
        <v>2193</v>
      </c>
      <c r="B2195" s="7" t="str">
        <f t="shared" si="521"/>
        <v>104</v>
      </c>
      <c r="C2195" s="7" t="s">
        <v>1848</v>
      </c>
      <c r="D2195" s="7" t="s">
        <v>1849</v>
      </c>
      <c r="E2195" s="7" t="str">
        <f>"朱连娜"</f>
        <v>朱连娜</v>
      </c>
      <c r="F2195" s="7" t="str">
        <f>"女"</f>
        <v>女</v>
      </c>
      <c r="G2195" s="7" t="s">
        <v>1867</v>
      </c>
      <c r="H2195" s="8"/>
    </row>
    <row r="2196" ht="25" customHeight="1" spans="1:8">
      <c r="A2196" s="6">
        <v>2194</v>
      </c>
      <c r="B2196" s="7" t="str">
        <f t="shared" si="521"/>
        <v>104</v>
      </c>
      <c r="C2196" s="7" t="s">
        <v>1848</v>
      </c>
      <c r="D2196" s="7" t="s">
        <v>1849</v>
      </c>
      <c r="E2196" s="7" t="str">
        <f>"黄福凯"</f>
        <v>黄福凯</v>
      </c>
      <c r="F2196" s="7" t="str">
        <f t="shared" si="526"/>
        <v>男</v>
      </c>
      <c r="G2196" s="7" t="s">
        <v>1868</v>
      </c>
      <c r="H2196" s="8"/>
    </row>
    <row r="2197" ht="25" customHeight="1" spans="1:8">
      <c r="A2197" s="6">
        <v>2195</v>
      </c>
      <c r="B2197" s="7" t="str">
        <f t="shared" si="521"/>
        <v>104</v>
      </c>
      <c r="C2197" s="7" t="s">
        <v>1848</v>
      </c>
      <c r="D2197" s="7" t="s">
        <v>1849</v>
      </c>
      <c r="E2197" s="7" t="str">
        <f>"辜祖鸿"</f>
        <v>辜祖鸿</v>
      </c>
      <c r="F2197" s="7" t="str">
        <f t="shared" si="526"/>
        <v>男</v>
      </c>
      <c r="G2197" s="7" t="s">
        <v>1074</v>
      </c>
      <c r="H2197" s="8"/>
    </row>
    <row r="2198" ht="25" customHeight="1" spans="1:8">
      <c r="A2198" s="6">
        <v>2196</v>
      </c>
      <c r="B2198" s="7" t="str">
        <f t="shared" si="521"/>
        <v>104</v>
      </c>
      <c r="C2198" s="7" t="s">
        <v>1848</v>
      </c>
      <c r="D2198" s="7" t="s">
        <v>1849</v>
      </c>
      <c r="E2198" s="7" t="str">
        <f>"魏然"</f>
        <v>魏然</v>
      </c>
      <c r="F2198" s="7" t="str">
        <f t="shared" si="526"/>
        <v>男</v>
      </c>
      <c r="G2198" s="7" t="s">
        <v>1869</v>
      </c>
      <c r="H2198" s="8"/>
    </row>
    <row r="2199" ht="25" customHeight="1" spans="1:8">
      <c r="A2199" s="6">
        <v>2197</v>
      </c>
      <c r="B2199" s="7" t="str">
        <f t="shared" si="521"/>
        <v>104</v>
      </c>
      <c r="C2199" s="7" t="s">
        <v>1848</v>
      </c>
      <c r="D2199" s="7" t="s">
        <v>1849</v>
      </c>
      <c r="E2199" s="7" t="str">
        <f>"李帅琦"</f>
        <v>李帅琦</v>
      </c>
      <c r="F2199" s="7" t="str">
        <f t="shared" si="526"/>
        <v>男</v>
      </c>
      <c r="G2199" s="7" t="s">
        <v>1870</v>
      </c>
      <c r="H2199" s="8"/>
    </row>
    <row r="2200" ht="25" customHeight="1" spans="1:8">
      <c r="A2200" s="6">
        <v>2198</v>
      </c>
      <c r="B2200" s="7" t="str">
        <f t="shared" si="521"/>
        <v>104</v>
      </c>
      <c r="C2200" s="7" t="s">
        <v>1848</v>
      </c>
      <c r="D2200" s="7" t="s">
        <v>1849</v>
      </c>
      <c r="E2200" s="7" t="str">
        <f>"郝梦媛"</f>
        <v>郝梦媛</v>
      </c>
      <c r="F2200" s="7" t="str">
        <f t="shared" ref="F2200:F2205" si="527">"女"</f>
        <v>女</v>
      </c>
      <c r="G2200" s="7" t="s">
        <v>1871</v>
      </c>
      <c r="H2200" s="8"/>
    </row>
    <row r="2201" ht="25" customHeight="1" spans="1:8">
      <c r="A2201" s="6">
        <v>2199</v>
      </c>
      <c r="B2201" s="7" t="str">
        <f t="shared" si="521"/>
        <v>104</v>
      </c>
      <c r="C2201" s="7" t="s">
        <v>1848</v>
      </c>
      <c r="D2201" s="7" t="s">
        <v>1849</v>
      </c>
      <c r="E2201" s="7" t="str">
        <f>"冯乃禛"</f>
        <v>冯乃禛</v>
      </c>
      <c r="F2201" s="7" t="str">
        <f t="shared" ref="F2201:F2204" si="528">"男"</f>
        <v>男</v>
      </c>
      <c r="G2201" s="7" t="s">
        <v>948</v>
      </c>
      <c r="H2201" s="8"/>
    </row>
    <row r="2202" ht="25" customHeight="1" spans="1:8">
      <c r="A2202" s="6">
        <v>2200</v>
      </c>
      <c r="B2202" s="7" t="str">
        <f t="shared" si="521"/>
        <v>104</v>
      </c>
      <c r="C2202" s="7" t="s">
        <v>1848</v>
      </c>
      <c r="D2202" s="7" t="s">
        <v>1849</v>
      </c>
      <c r="E2202" s="7" t="str">
        <f>"吴金芳"</f>
        <v>吴金芳</v>
      </c>
      <c r="F2202" s="7" t="str">
        <f t="shared" si="527"/>
        <v>女</v>
      </c>
      <c r="G2202" s="7" t="s">
        <v>1872</v>
      </c>
      <c r="H2202" s="8"/>
    </row>
    <row r="2203" ht="25" customHeight="1" spans="1:8">
      <c r="A2203" s="6">
        <v>2201</v>
      </c>
      <c r="B2203" s="7" t="str">
        <f t="shared" si="521"/>
        <v>104</v>
      </c>
      <c r="C2203" s="7" t="s">
        <v>1848</v>
      </c>
      <c r="D2203" s="7" t="s">
        <v>1849</v>
      </c>
      <c r="E2203" s="7" t="str">
        <f>"龙宇杰"</f>
        <v>龙宇杰</v>
      </c>
      <c r="F2203" s="7" t="str">
        <f t="shared" si="528"/>
        <v>男</v>
      </c>
      <c r="G2203" s="7" t="s">
        <v>1873</v>
      </c>
      <c r="H2203" s="8"/>
    </row>
    <row r="2204" ht="25" customHeight="1" spans="1:8">
      <c r="A2204" s="6">
        <v>2202</v>
      </c>
      <c r="B2204" s="7" t="str">
        <f t="shared" si="521"/>
        <v>104</v>
      </c>
      <c r="C2204" s="7" t="s">
        <v>1848</v>
      </c>
      <c r="D2204" s="7" t="s">
        <v>1849</v>
      </c>
      <c r="E2204" s="7" t="str">
        <f>"彭文宏睿"</f>
        <v>彭文宏睿</v>
      </c>
      <c r="F2204" s="7" t="str">
        <f t="shared" si="528"/>
        <v>男</v>
      </c>
      <c r="G2204" s="7" t="s">
        <v>1874</v>
      </c>
      <c r="H2204" s="8"/>
    </row>
    <row r="2205" ht="25" customHeight="1" spans="1:8">
      <c r="A2205" s="6">
        <v>2203</v>
      </c>
      <c r="B2205" s="7" t="str">
        <f t="shared" si="521"/>
        <v>104</v>
      </c>
      <c r="C2205" s="7" t="s">
        <v>1848</v>
      </c>
      <c r="D2205" s="7" t="s">
        <v>1849</v>
      </c>
      <c r="E2205" s="7" t="str">
        <f>"郝萌"</f>
        <v>郝萌</v>
      </c>
      <c r="F2205" s="7" t="str">
        <f t="shared" si="527"/>
        <v>女</v>
      </c>
      <c r="G2205" s="7" t="s">
        <v>1875</v>
      </c>
      <c r="H2205" s="8"/>
    </row>
    <row r="2206" ht="25" customHeight="1" spans="1:8">
      <c r="A2206" s="6">
        <v>2204</v>
      </c>
      <c r="B2206" s="7" t="str">
        <f t="shared" si="521"/>
        <v>104</v>
      </c>
      <c r="C2206" s="7" t="s">
        <v>1848</v>
      </c>
      <c r="D2206" s="7" t="s">
        <v>1849</v>
      </c>
      <c r="E2206" s="7" t="str">
        <f>"李衍瑞"</f>
        <v>李衍瑞</v>
      </c>
      <c r="F2206" s="7" t="str">
        <f t="shared" ref="F2206:F2211" si="529">"男"</f>
        <v>男</v>
      </c>
      <c r="G2206" s="7" t="s">
        <v>1876</v>
      </c>
      <c r="H2206" s="8"/>
    </row>
    <row r="2207" ht="25" customHeight="1" spans="1:8">
      <c r="A2207" s="6">
        <v>2205</v>
      </c>
      <c r="B2207" s="7" t="str">
        <f t="shared" si="521"/>
        <v>104</v>
      </c>
      <c r="C2207" s="7" t="s">
        <v>1848</v>
      </c>
      <c r="D2207" s="7" t="s">
        <v>1849</v>
      </c>
      <c r="E2207" s="7" t="str">
        <f>"李焕茗"</f>
        <v>李焕茗</v>
      </c>
      <c r="F2207" s="7" t="str">
        <f t="shared" si="529"/>
        <v>男</v>
      </c>
      <c r="G2207" s="7" t="s">
        <v>1877</v>
      </c>
      <c r="H2207" s="8"/>
    </row>
    <row r="2208" ht="25" customHeight="1" spans="1:8">
      <c r="A2208" s="6">
        <v>2206</v>
      </c>
      <c r="B2208" s="7" t="str">
        <f t="shared" si="521"/>
        <v>104</v>
      </c>
      <c r="C2208" s="7" t="s">
        <v>1848</v>
      </c>
      <c r="D2208" s="7" t="s">
        <v>1849</v>
      </c>
      <c r="E2208" s="7" t="str">
        <f>"高佳慧"</f>
        <v>高佳慧</v>
      </c>
      <c r="F2208" s="7" t="str">
        <f t="shared" ref="F2208:F2213" si="530">"女"</f>
        <v>女</v>
      </c>
      <c r="G2208" s="7" t="s">
        <v>1878</v>
      </c>
      <c r="H2208" s="8"/>
    </row>
    <row r="2209" ht="25" customHeight="1" spans="1:8">
      <c r="A2209" s="6">
        <v>2207</v>
      </c>
      <c r="B2209" s="7" t="str">
        <f t="shared" si="521"/>
        <v>104</v>
      </c>
      <c r="C2209" s="7" t="s">
        <v>1848</v>
      </c>
      <c r="D2209" s="7" t="s">
        <v>1849</v>
      </c>
      <c r="E2209" s="7" t="str">
        <f>" 苏龙坤"</f>
        <v> 苏龙坤</v>
      </c>
      <c r="F2209" s="7" t="str">
        <f t="shared" si="529"/>
        <v>男</v>
      </c>
      <c r="G2209" s="7" t="s">
        <v>1879</v>
      </c>
      <c r="H2209" s="8"/>
    </row>
    <row r="2210" ht="25" customHeight="1" spans="1:8">
      <c r="A2210" s="6">
        <v>2208</v>
      </c>
      <c r="B2210" s="7" t="str">
        <f t="shared" si="521"/>
        <v>104</v>
      </c>
      <c r="C2210" s="7" t="s">
        <v>1848</v>
      </c>
      <c r="D2210" s="7" t="s">
        <v>1849</v>
      </c>
      <c r="E2210" s="7" t="str">
        <f>"王首清"</f>
        <v>王首清</v>
      </c>
      <c r="F2210" s="7" t="str">
        <f t="shared" si="529"/>
        <v>男</v>
      </c>
      <c r="G2210" s="7" t="s">
        <v>968</v>
      </c>
      <c r="H2210" s="8"/>
    </row>
    <row r="2211" ht="25" customHeight="1" spans="1:8">
      <c r="A2211" s="6">
        <v>2209</v>
      </c>
      <c r="B2211" s="7" t="str">
        <f t="shared" si="521"/>
        <v>104</v>
      </c>
      <c r="C2211" s="7" t="s">
        <v>1848</v>
      </c>
      <c r="D2211" s="7" t="s">
        <v>1849</v>
      </c>
      <c r="E2211" s="7" t="str">
        <f>"柳忠棠"</f>
        <v>柳忠棠</v>
      </c>
      <c r="F2211" s="7" t="str">
        <f t="shared" si="529"/>
        <v>男</v>
      </c>
      <c r="G2211" s="7" t="s">
        <v>1880</v>
      </c>
      <c r="H2211" s="8"/>
    </row>
    <row r="2212" ht="25" customHeight="1" spans="1:8">
      <c r="A2212" s="6">
        <v>2210</v>
      </c>
      <c r="B2212" s="7" t="str">
        <f t="shared" si="521"/>
        <v>104</v>
      </c>
      <c r="C2212" s="7" t="s">
        <v>1848</v>
      </c>
      <c r="D2212" s="7" t="s">
        <v>1849</v>
      </c>
      <c r="E2212" s="7" t="str">
        <f>"李华宁"</f>
        <v>李华宁</v>
      </c>
      <c r="F2212" s="7" t="str">
        <f t="shared" si="530"/>
        <v>女</v>
      </c>
      <c r="G2212" s="7" t="s">
        <v>1881</v>
      </c>
      <c r="H2212" s="8"/>
    </row>
    <row r="2213" ht="25" customHeight="1" spans="1:8">
      <c r="A2213" s="6">
        <v>2211</v>
      </c>
      <c r="B2213" s="7" t="str">
        <f t="shared" si="521"/>
        <v>104</v>
      </c>
      <c r="C2213" s="7" t="s">
        <v>1848</v>
      </c>
      <c r="D2213" s="7" t="s">
        <v>1849</v>
      </c>
      <c r="E2213" s="7" t="str">
        <f>"许坤莉"</f>
        <v>许坤莉</v>
      </c>
      <c r="F2213" s="7" t="str">
        <f t="shared" si="530"/>
        <v>女</v>
      </c>
      <c r="G2213" s="7" t="s">
        <v>956</v>
      </c>
      <c r="H2213" s="8"/>
    </row>
    <row r="2214" ht="25" customHeight="1" spans="1:8">
      <c r="A2214" s="6">
        <v>2212</v>
      </c>
      <c r="B2214" s="7" t="str">
        <f t="shared" si="521"/>
        <v>104</v>
      </c>
      <c r="C2214" s="7" t="s">
        <v>1848</v>
      </c>
      <c r="D2214" s="7" t="s">
        <v>1849</v>
      </c>
      <c r="E2214" s="7" t="str">
        <f>"张明浩"</f>
        <v>张明浩</v>
      </c>
      <c r="F2214" s="7" t="str">
        <f t="shared" ref="F2214:F2221" si="531">"男"</f>
        <v>男</v>
      </c>
      <c r="G2214" s="7" t="s">
        <v>1882</v>
      </c>
      <c r="H2214" s="8"/>
    </row>
    <row r="2215" ht="25" customHeight="1" spans="1:8">
      <c r="A2215" s="6">
        <v>2213</v>
      </c>
      <c r="B2215" s="7" t="str">
        <f t="shared" si="521"/>
        <v>104</v>
      </c>
      <c r="C2215" s="7" t="s">
        <v>1848</v>
      </c>
      <c r="D2215" s="7" t="s">
        <v>1849</v>
      </c>
      <c r="E2215" s="7" t="str">
        <f>"黄金月"</f>
        <v>黄金月</v>
      </c>
      <c r="F2215" s="7" t="str">
        <f>"女"</f>
        <v>女</v>
      </c>
      <c r="G2215" s="7" t="s">
        <v>1883</v>
      </c>
      <c r="H2215" s="8"/>
    </row>
    <row r="2216" ht="25" customHeight="1" spans="1:8">
      <c r="A2216" s="6">
        <v>2214</v>
      </c>
      <c r="B2216" s="7" t="str">
        <f t="shared" si="521"/>
        <v>104</v>
      </c>
      <c r="C2216" s="7" t="s">
        <v>1848</v>
      </c>
      <c r="D2216" s="7" t="s">
        <v>1849</v>
      </c>
      <c r="E2216" s="7" t="str">
        <f>"林先武"</f>
        <v>林先武</v>
      </c>
      <c r="F2216" s="7" t="str">
        <f t="shared" si="531"/>
        <v>男</v>
      </c>
      <c r="G2216" s="7" t="s">
        <v>1884</v>
      </c>
      <c r="H2216" s="8"/>
    </row>
    <row r="2217" ht="25" customHeight="1" spans="1:8">
      <c r="A2217" s="6">
        <v>2215</v>
      </c>
      <c r="B2217" s="7" t="str">
        <f t="shared" si="521"/>
        <v>104</v>
      </c>
      <c r="C2217" s="7" t="s">
        <v>1848</v>
      </c>
      <c r="D2217" s="7" t="s">
        <v>1849</v>
      </c>
      <c r="E2217" s="7" t="str">
        <f>"姜龙飞"</f>
        <v>姜龙飞</v>
      </c>
      <c r="F2217" s="7" t="str">
        <f t="shared" si="531"/>
        <v>男</v>
      </c>
      <c r="G2217" s="7" t="s">
        <v>1885</v>
      </c>
      <c r="H2217" s="8"/>
    </row>
    <row r="2218" ht="25" customHeight="1" spans="1:8">
      <c r="A2218" s="6">
        <v>2216</v>
      </c>
      <c r="B2218" s="7" t="str">
        <f t="shared" si="521"/>
        <v>104</v>
      </c>
      <c r="C2218" s="7" t="s">
        <v>1848</v>
      </c>
      <c r="D2218" s="7" t="s">
        <v>1849</v>
      </c>
      <c r="E2218" s="7" t="str">
        <f>"许治帆"</f>
        <v>许治帆</v>
      </c>
      <c r="F2218" s="7" t="str">
        <f t="shared" si="531"/>
        <v>男</v>
      </c>
      <c r="G2218" s="7" t="s">
        <v>1886</v>
      </c>
      <c r="H2218" s="8"/>
    </row>
    <row r="2219" ht="25" customHeight="1" spans="1:8">
      <c r="A2219" s="6">
        <v>2217</v>
      </c>
      <c r="B2219" s="7" t="str">
        <f t="shared" si="521"/>
        <v>104</v>
      </c>
      <c r="C2219" s="7" t="s">
        <v>1848</v>
      </c>
      <c r="D2219" s="7" t="s">
        <v>1849</v>
      </c>
      <c r="E2219" s="7" t="str">
        <f>"吴勇儒"</f>
        <v>吴勇儒</v>
      </c>
      <c r="F2219" s="7" t="str">
        <f t="shared" si="531"/>
        <v>男</v>
      </c>
      <c r="G2219" s="7" t="s">
        <v>1887</v>
      </c>
      <c r="H2219" s="8"/>
    </row>
    <row r="2220" ht="25" customHeight="1" spans="1:8">
      <c r="A2220" s="6">
        <v>2218</v>
      </c>
      <c r="B2220" s="7" t="str">
        <f t="shared" si="521"/>
        <v>104</v>
      </c>
      <c r="C2220" s="7" t="s">
        <v>1848</v>
      </c>
      <c r="D2220" s="7" t="s">
        <v>1849</v>
      </c>
      <c r="E2220" s="7" t="str">
        <f>"王庞"</f>
        <v>王庞</v>
      </c>
      <c r="F2220" s="7" t="str">
        <f t="shared" si="531"/>
        <v>男</v>
      </c>
      <c r="G2220" s="7" t="s">
        <v>1888</v>
      </c>
      <c r="H2220" s="8"/>
    </row>
    <row r="2221" ht="25" customHeight="1" spans="1:8">
      <c r="A2221" s="6">
        <v>2219</v>
      </c>
      <c r="B2221" s="7" t="str">
        <f t="shared" si="521"/>
        <v>104</v>
      </c>
      <c r="C2221" s="7" t="s">
        <v>1848</v>
      </c>
      <c r="D2221" s="7" t="s">
        <v>1849</v>
      </c>
      <c r="E2221" s="7" t="str">
        <f>"杨萧穗"</f>
        <v>杨萧穗</v>
      </c>
      <c r="F2221" s="7" t="str">
        <f t="shared" si="531"/>
        <v>男</v>
      </c>
      <c r="G2221" s="7" t="s">
        <v>1118</v>
      </c>
      <c r="H2221" s="8"/>
    </row>
    <row r="2222" ht="25" customHeight="1" spans="1:8">
      <c r="A2222" s="6">
        <v>2220</v>
      </c>
      <c r="B2222" s="7" t="str">
        <f t="shared" si="521"/>
        <v>104</v>
      </c>
      <c r="C2222" s="7" t="s">
        <v>1848</v>
      </c>
      <c r="D2222" s="7" t="s">
        <v>1849</v>
      </c>
      <c r="E2222" s="7" t="str">
        <f>"蔡慧婷"</f>
        <v>蔡慧婷</v>
      </c>
      <c r="F2222" s="7" t="str">
        <f t="shared" ref="F2222:F2225" si="532">"女"</f>
        <v>女</v>
      </c>
      <c r="G2222" s="7" t="s">
        <v>1889</v>
      </c>
      <c r="H2222" s="8"/>
    </row>
    <row r="2223" ht="25" customHeight="1" spans="1:8">
      <c r="A2223" s="6">
        <v>2221</v>
      </c>
      <c r="B2223" s="7" t="str">
        <f t="shared" si="521"/>
        <v>104</v>
      </c>
      <c r="C2223" s="7" t="s">
        <v>1848</v>
      </c>
      <c r="D2223" s="7" t="s">
        <v>1849</v>
      </c>
      <c r="E2223" s="7" t="str">
        <f>"潘蕾伊"</f>
        <v>潘蕾伊</v>
      </c>
      <c r="F2223" s="7" t="str">
        <f t="shared" si="532"/>
        <v>女</v>
      </c>
      <c r="G2223" s="7" t="s">
        <v>117</v>
      </c>
      <c r="H2223" s="8"/>
    </row>
    <row r="2224" ht="25" customHeight="1" spans="1:8">
      <c r="A2224" s="6">
        <v>2222</v>
      </c>
      <c r="B2224" s="7" t="str">
        <f t="shared" si="521"/>
        <v>104</v>
      </c>
      <c r="C2224" s="7" t="s">
        <v>1848</v>
      </c>
      <c r="D2224" s="7" t="s">
        <v>1849</v>
      </c>
      <c r="E2224" s="7" t="str">
        <f>"邢桃香"</f>
        <v>邢桃香</v>
      </c>
      <c r="F2224" s="7" t="str">
        <f t="shared" si="532"/>
        <v>女</v>
      </c>
      <c r="G2224" s="7" t="s">
        <v>1890</v>
      </c>
      <c r="H2224" s="8"/>
    </row>
    <row r="2225" ht="25" customHeight="1" spans="1:8">
      <c r="A2225" s="6">
        <v>2223</v>
      </c>
      <c r="B2225" s="7" t="str">
        <f t="shared" si="521"/>
        <v>104</v>
      </c>
      <c r="C2225" s="7" t="s">
        <v>1848</v>
      </c>
      <c r="D2225" s="7" t="s">
        <v>1849</v>
      </c>
      <c r="E2225" s="7" t="str">
        <f>"郑蕙"</f>
        <v>郑蕙</v>
      </c>
      <c r="F2225" s="7" t="str">
        <f t="shared" si="532"/>
        <v>女</v>
      </c>
      <c r="G2225" s="7" t="s">
        <v>1891</v>
      </c>
      <c r="H2225" s="8"/>
    </row>
    <row r="2226" ht="25" customHeight="1" spans="1:8">
      <c r="A2226" s="6">
        <v>2224</v>
      </c>
      <c r="B2226" s="7" t="str">
        <f t="shared" si="521"/>
        <v>104</v>
      </c>
      <c r="C2226" s="7" t="s">
        <v>1848</v>
      </c>
      <c r="D2226" s="7" t="s">
        <v>1849</v>
      </c>
      <c r="E2226" s="7" t="str">
        <f>"李恒征"</f>
        <v>李恒征</v>
      </c>
      <c r="F2226" s="7" t="str">
        <f t="shared" ref="F2226:F2233" si="533">"男"</f>
        <v>男</v>
      </c>
      <c r="G2226" s="7" t="s">
        <v>948</v>
      </c>
      <c r="H2226" s="8"/>
    </row>
    <row r="2227" ht="25" customHeight="1" spans="1:8">
      <c r="A2227" s="6">
        <v>2225</v>
      </c>
      <c r="B2227" s="7" t="str">
        <f t="shared" si="521"/>
        <v>104</v>
      </c>
      <c r="C2227" s="7" t="s">
        <v>1848</v>
      </c>
      <c r="D2227" s="7" t="s">
        <v>1849</v>
      </c>
      <c r="E2227" s="7" t="str">
        <f>"詹尉雯"</f>
        <v>詹尉雯</v>
      </c>
      <c r="F2227" s="7" t="str">
        <f t="shared" ref="F2227:F2230" si="534">"女"</f>
        <v>女</v>
      </c>
      <c r="G2227" s="7" t="s">
        <v>1892</v>
      </c>
      <c r="H2227" s="8"/>
    </row>
    <row r="2228" ht="25" customHeight="1" spans="1:8">
      <c r="A2228" s="6">
        <v>2226</v>
      </c>
      <c r="B2228" s="7" t="str">
        <f t="shared" si="521"/>
        <v>104</v>
      </c>
      <c r="C2228" s="7" t="s">
        <v>1848</v>
      </c>
      <c r="D2228" s="7" t="s">
        <v>1849</v>
      </c>
      <c r="E2228" s="7" t="str">
        <f>"崔琪"</f>
        <v>崔琪</v>
      </c>
      <c r="F2228" s="7" t="str">
        <f t="shared" si="534"/>
        <v>女</v>
      </c>
      <c r="G2228" s="7" t="s">
        <v>1893</v>
      </c>
      <c r="H2228" s="8"/>
    </row>
    <row r="2229" ht="25" customHeight="1" spans="1:8">
      <c r="A2229" s="6">
        <v>2227</v>
      </c>
      <c r="B2229" s="7" t="str">
        <f t="shared" si="521"/>
        <v>104</v>
      </c>
      <c r="C2229" s="7" t="s">
        <v>1848</v>
      </c>
      <c r="D2229" s="7" t="s">
        <v>1849</v>
      </c>
      <c r="E2229" s="7" t="str">
        <f>"吴淑棋"</f>
        <v>吴淑棋</v>
      </c>
      <c r="F2229" s="7" t="str">
        <f t="shared" si="533"/>
        <v>男</v>
      </c>
      <c r="G2229" s="7" t="s">
        <v>1894</v>
      </c>
      <c r="H2229" s="8"/>
    </row>
    <row r="2230" ht="25" customHeight="1" spans="1:8">
      <c r="A2230" s="6">
        <v>2228</v>
      </c>
      <c r="B2230" s="7" t="str">
        <f t="shared" si="521"/>
        <v>104</v>
      </c>
      <c r="C2230" s="7" t="s">
        <v>1848</v>
      </c>
      <c r="D2230" s="7" t="s">
        <v>1849</v>
      </c>
      <c r="E2230" s="7" t="str">
        <f>"范冠怡"</f>
        <v>范冠怡</v>
      </c>
      <c r="F2230" s="7" t="str">
        <f t="shared" si="534"/>
        <v>女</v>
      </c>
      <c r="G2230" s="7" t="s">
        <v>1895</v>
      </c>
      <c r="H2230" s="8"/>
    </row>
    <row r="2231" ht="25" customHeight="1" spans="1:8">
      <c r="A2231" s="6">
        <v>2229</v>
      </c>
      <c r="B2231" s="7" t="str">
        <f t="shared" si="521"/>
        <v>104</v>
      </c>
      <c r="C2231" s="7" t="s">
        <v>1848</v>
      </c>
      <c r="D2231" s="7" t="s">
        <v>1849</v>
      </c>
      <c r="E2231" s="7" t="str">
        <f>"陈荣烽"</f>
        <v>陈荣烽</v>
      </c>
      <c r="F2231" s="7" t="str">
        <f t="shared" si="533"/>
        <v>男</v>
      </c>
      <c r="G2231" s="7" t="s">
        <v>1896</v>
      </c>
      <c r="H2231" s="8"/>
    </row>
    <row r="2232" ht="25" customHeight="1" spans="1:8">
      <c r="A2232" s="6">
        <v>2230</v>
      </c>
      <c r="B2232" s="7" t="str">
        <f t="shared" si="521"/>
        <v>104</v>
      </c>
      <c r="C2232" s="7" t="s">
        <v>1848</v>
      </c>
      <c r="D2232" s="7" t="s">
        <v>1849</v>
      </c>
      <c r="E2232" s="7" t="str">
        <f>"蔡和锦"</f>
        <v>蔡和锦</v>
      </c>
      <c r="F2232" s="7" t="str">
        <f t="shared" si="533"/>
        <v>男</v>
      </c>
      <c r="G2232" s="7" t="s">
        <v>1897</v>
      </c>
      <c r="H2232" s="8"/>
    </row>
    <row r="2233" ht="25" customHeight="1" spans="1:8">
      <c r="A2233" s="6">
        <v>2231</v>
      </c>
      <c r="B2233" s="7" t="str">
        <f t="shared" si="521"/>
        <v>104</v>
      </c>
      <c r="C2233" s="7" t="s">
        <v>1848</v>
      </c>
      <c r="D2233" s="7" t="s">
        <v>1849</v>
      </c>
      <c r="E2233" s="7" t="str">
        <f>"王旭阳"</f>
        <v>王旭阳</v>
      </c>
      <c r="F2233" s="7" t="str">
        <f t="shared" si="533"/>
        <v>男</v>
      </c>
      <c r="G2233" s="7" t="s">
        <v>1898</v>
      </c>
      <c r="H2233" s="8"/>
    </row>
    <row r="2234" ht="25" customHeight="1" spans="1:8">
      <c r="A2234" s="6">
        <v>2232</v>
      </c>
      <c r="B2234" s="7" t="str">
        <f t="shared" si="521"/>
        <v>104</v>
      </c>
      <c r="C2234" s="7" t="s">
        <v>1848</v>
      </c>
      <c r="D2234" s="7" t="s">
        <v>1849</v>
      </c>
      <c r="E2234" s="7" t="str">
        <f>"孙昌萍"</f>
        <v>孙昌萍</v>
      </c>
      <c r="F2234" s="7" t="str">
        <f t="shared" ref="F2234:F2238" si="535">"女"</f>
        <v>女</v>
      </c>
      <c r="G2234" s="7" t="s">
        <v>1899</v>
      </c>
      <c r="H2234" s="8"/>
    </row>
    <row r="2235" ht="25" customHeight="1" spans="1:8">
      <c r="A2235" s="6">
        <v>2233</v>
      </c>
      <c r="B2235" s="7" t="str">
        <f t="shared" si="521"/>
        <v>104</v>
      </c>
      <c r="C2235" s="7" t="s">
        <v>1848</v>
      </c>
      <c r="D2235" s="7" t="s">
        <v>1849</v>
      </c>
      <c r="E2235" s="7" t="str">
        <f>"刘小琦"</f>
        <v>刘小琦</v>
      </c>
      <c r="F2235" s="7" t="str">
        <f t="shared" si="535"/>
        <v>女</v>
      </c>
      <c r="G2235" s="7" t="s">
        <v>1900</v>
      </c>
      <c r="H2235" s="8"/>
    </row>
    <row r="2236" ht="25" customHeight="1" spans="1:8">
      <c r="A2236" s="6">
        <v>2234</v>
      </c>
      <c r="B2236" s="7" t="str">
        <f t="shared" si="521"/>
        <v>104</v>
      </c>
      <c r="C2236" s="7" t="s">
        <v>1848</v>
      </c>
      <c r="D2236" s="7" t="s">
        <v>1849</v>
      </c>
      <c r="E2236" s="7" t="str">
        <f>"董怀堂"</f>
        <v>董怀堂</v>
      </c>
      <c r="F2236" s="7" t="str">
        <f t="shared" ref="F2236:F2240" si="536">"男"</f>
        <v>男</v>
      </c>
      <c r="G2236" s="7" t="s">
        <v>1901</v>
      </c>
      <c r="H2236" s="8"/>
    </row>
    <row r="2237" ht="25" customHeight="1" spans="1:8">
      <c r="A2237" s="6">
        <v>2235</v>
      </c>
      <c r="B2237" s="7" t="str">
        <f t="shared" si="521"/>
        <v>104</v>
      </c>
      <c r="C2237" s="7" t="s">
        <v>1848</v>
      </c>
      <c r="D2237" s="7" t="s">
        <v>1849</v>
      </c>
      <c r="E2237" s="7" t="str">
        <f>"王宁宁"</f>
        <v>王宁宁</v>
      </c>
      <c r="F2237" s="7" t="str">
        <f t="shared" si="535"/>
        <v>女</v>
      </c>
      <c r="G2237" s="7" t="s">
        <v>1902</v>
      </c>
      <c r="H2237" s="8"/>
    </row>
    <row r="2238" ht="25" customHeight="1" spans="1:8">
      <c r="A2238" s="6">
        <v>2236</v>
      </c>
      <c r="B2238" s="7" t="str">
        <f t="shared" si="521"/>
        <v>104</v>
      </c>
      <c r="C2238" s="7" t="s">
        <v>1848</v>
      </c>
      <c r="D2238" s="7" t="s">
        <v>1849</v>
      </c>
      <c r="E2238" s="7" t="str">
        <f>"周思华"</f>
        <v>周思华</v>
      </c>
      <c r="F2238" s="7" t="str">
        <f t="shared" si="535"/>
        <v>女</v>
      </c>
      <c r="G2238" s="7" t="s">
        <v>1903</v>
      </c>
      <c r="H2238" s="8"/>
    </row>
    <row r="2239" ht="25" customHeight="1" spans="1:8">
      <c r="A2239" s="6">
        <v>2237</v>
      </c>
      <c r="B2239" s="7" t="str">
        <f t="shared" ref="B2239:B2302" si="537">"104"</f>
        <v>104</v>
      </c>
      <c r="C2239" s="7" t="s">
        <v>1848</v>
      </c>
      <c r="D2239" s="7" t="s">
        <v>1849</v>
      </c>
      <c r="E2239" s="7" t="str">
        <f>"赵晨阳"</f>
        <v>赵晨阳</v>
      </c>
      <c r="F2239" s="7" t="str">
        <f t="shared" si="536"/>
        <v>男</v>
      </c>
      <c r="G2239" s="7" t="s">
        <v>1904</v>
      </c>
      <c r="H2239" s="8"/>
    </row>
    <row r="2240" ht="25" customHeight="1" spans="1:8">
      <c r="A2240" s="6">
        <v>2238</v>
      </c>
      <c r="B2240" s="7" t="str">
        <f t="shared" si="537"/>
        <v>104</v>
      </c>
      <c r="C2240" s="7" t="s">
        <v>1848</v>
      </c>
      <c r="D2240" s="7" t="s">
        <v>1849</v>
      </c>
      <c r="E2240" s="7" t="str">
        <f>"符树正"</f>
        <v>符树正</v>
      </c>
      <c r="F2240" s="7" t="str">
        <f t="shared" si="536"/>
        <v>男</v>
      </c>
      <c r="G2240" s="7" t="s">
        <v>1905</v>
      </c>
      <c r="H2240" s="8"/>
    </row>
    <row r="2241" ht="25" customHeight="1" spans="1:8">
      <c r="A2241" s="6">
        <v>2239</v>
      </c>
      <c r="B2241" s="7" t="str">
        <f t="shared" si="537"/>
        <v>104</v>
      </c>
      <c r="C2241" s="7" t="s">
        <v>1848</v>
      </c>
      <c r="D2241" s="7" t="s">
        <v>1849</v>
      </c>
      <c r="E2241" s="7" t="str">
        <f>"黄慧鑫"</f>
        <v>黄慧鑫</v>
      </c>
      <c r="F2241" s="7" t="str">
        <f t="shared" ref="F2241:F2245" si="538">"女"</f>
        <v>女</v>
      </c>
      <c r="G2241" s="7" t="s">
        <v>1906</v>
      </c>
      <c r="H2241" s="8"/>
    </row>
    <row r="2242" ht="25" customHeight="1" spans="1:8">
      <c r="A2242" s="6">
        <v>2240</v>
      </c>
      <c r="B2242" s="7" t="str">
        <f t="shared" si="537"/>
        <v>104</v>
      </c>
      <c r="C2242" s="7" t="s">
        <v>1848</v>
      </c>
      <c r="D2242" s="7" t="s">
        <v>1849</v>
      </c>
      <c r="E2242" s="7" t="str">
        <f>"黄睿娜"</f>
        <v>黄睿娜</v>
      </c>
      <c r="F2242" s="7" t="str">
        <f t="shared" si="538"/>
        <v>女</v>
      </c>
      <c r="G2242" s="7" t="s">
        <v>1907</v>
      </c>
      <c r="H2242" s="8"/>
    </row>
    <row r="2243" ht="25" customHeight="1" spans="1:8">
      <c r="A2243" s="6">
        <v>2241</v>
      </c>
      <c r="B2243" s="7" t="str">
        <f t="shared" si="537"/>
        <v>104</v>
      </c>
      <c r="C2243" s="7" t="s">
        <v>1848</v>
      </c>
      <c r="D2243" s="7" t="s">
        <v>1849</v>
      </c>
      <c r="E2243" s="7" t="str">
        <f>"赵显"</f>
        <v>赵显</v>
      </c>
      <c r="F2243" s="7" t="str">
        <f t="shared" ref="F2243:F2247" si="539">"男"</f>
        <v>男</v>
      </c>
      <c r="G2243" s="7" t="s">
        <v>1908</v>
      </c>
      <c r="H2243" s="8"/>
    </row>
    <row r="2244" ht="25" customHeight="1" spans="1:8">
      <c r="A2244" s="6">
        <v>2242</v>
      </c>
      <c r="B2244" s="7" t="str">
        <f t="shared" si="537"/>
        <v>104</v>
      </c>
      <c r="C2244" s="7" t="s">
        <v>1848</v>
      </c>
      <c r="D2244" s="7" t="s">
        <v>1849</v>
      </c>
      <c r="E2244" s="7" t="str">
        <f>"陈祥泉"</f>
        <v>陈祥泉</v>
      </c>
      <c r="F2244" s="7" t="str">
        <f t="shared" si="539"/>
        <v>男</v>
      </c>
      <c r="G2244" s="7" t="s">
        <v>1909</v>
      </c>
      <c r="H2244" s="8"/>
    </row>
    <row r="2245" ht="25" customHeight="1" spans="1:8">
      <c r="A2245" s="6">
        <v>2243</v>
      </c>
      <c r="B2245" s="7" t="str">
        <f t="shared" si="537"/>
        <v>104</v>
      </c>
      <c r="C2245" s="7" t="s">
        <v>1848</v>
      </c>
      <c r="D2245" s="7" t="s">
        <v>1849</v>
      </c>
      <c r="E2245" s="7" t="str">
        <f>"陈琪芷"</f>
        <v>陈琪芷</v>
      </c>
      <c r="F2245" s="7" t="str">
        <f t="shared" si="538"/>
        <v>女</v>
      </c>
      <c r="G2245" s="7" t="s">
        <v>1910</v>
      </c>
      <c r="H2245" s="8"/>
    </row>
    <row r="2246" ht="25" customHeight="1" spans="1:8">
      <c r="A2246" s="6">
        <v>2244</v>
      </c>
      <c r="B2246" s="7" t="str">
        <f t="shared" si="537"/>
        <v>104</v>
      </c>
      <c r="C2246" s="7" t="s">
        <v>1848</v>
      </c>
      <c r="D2246" s="7" t="s">
        <v>1849</v>
      </c>
      <c r="E2246" s="7" t="str">
        <f>"吴清智"</f>
        <v>吴清智</v>
      </c>
      <c r="F2246" s="7" t="str">
        <f t="shared" si="539"/>
        <v>男</v>
      </c>
      <c r="G2246" s="7" t="s">
        <v>1911</v>
      </c>
      <c r="H2246" s="8"/>
    </row>
    <row r="2247" ht="25" customHeight="1" spans="1:8">
      <c r="A2247" s="6">
        <v>2245</v>
      </c>
      <c r="B2247" s="7" t="str">
        <f t="shared" si="537"/>
        <v>104</v>
      </c>
      <c r="C2247" s="7" t="s">
        <v>1848</v>
      </c>
      <c r="D2247" s="7" t="s">
        <v>1849</v>
      </c>
      <c r="E2247" s="7" t="str">
        <f>"符乃第"</f>
        <v>符乃第</v>
      </c>
      <c r="F2247" s="7" t="str">
        <f t="shared" si="539"/>
        <v>男</v>
      </c>
      <c r="G2247" s="7" t="s">
        <v>1912</v>
      </c>
      <c r="H2247" s="8"/>
    </row>
    <row r="2248" ht="25" customHeight="1" spans="1:8">
      <c r="A2248" s="6">
        <v>2246</v>
      </c>
      <c r="B2248" s="7" t="str">
        <f t="shared" si="537"/>
        <v>104</v>
      </c>
      <c r="C2248" s="7" t="s">
        <v>1848</v>
      </c>
      <c r="D2248" s="7" t="s">
        <v>1849</v>
      </c>
      <c r="E2248" s="7" t="str">
        <f>"吴姝果"</f>
        <v>吴姝果</v>
      </c>
      <c r="F2248" s="7" t="str">
        <f>"女"</f>
        <v>女</v>
      </c>
      <c r="G2248" s="7" t="s">
        <v>1913</v>
      </c>
      <c r="H2248" s="8"/>
    </row>
    <row r="2249" ht="25" customHeight="1" spans="1:8">
      <c r="A2249" s="6">
        <v>2247</v>
      </c>
      <c r="B2249" s="7" t="str">
        <f t="shared" si="537"/>
        <v>104</v>
      </c>
      <c r="C2249" s="7" t="s">
        <v>1848</v>
      </c>
      <c r="D2249" s="7" t="s">
        <v>1849</v>
      </c>
      <c r="E2249" s="7" t="str">
        <f>"陈卿佳"</f>
        <v>陈卿佳</v>
      </c>
      <c r="F2249" s="7" t="str">
        <f t="shared" ref="F2249:F2251" si="540">"男"</f>
        <v>男</v>
      </c>
      <c r="G2249" s="7" t="s">
        <v>1914</v>
      </c>
      <c r="H2249" s="8"/>
    </row>
    <row r="2250" ht="25" customHeight="1" spans="1:8">
      <c r="A2250" s="6">
        <v>2248</v>
      </c>
      <c r="B2250" s="7" t="str">
        <f t="shared" si="537"/>
        <v>104</v>
      </c>
      <c r="C2250" s="7" t="s">
        <v>1848</v>
      </c>
      <c r="D2250" s="7" t="s">
        <v>1849</v>
      </c>
      <c r="E2250" s="7" t="str">
        <f>"田伯文"</f>
        <v>田伯文</v>
      </c>
      <c r="F2250" s="7" t="str">
        <f t="shared" si="540"/>
        <v>男</v>
      </c>
      <c r="G2250" s="7" t="s">
        <v>1915</v>
      </c>
      <c r="H2250" s="8"/>
    </row>
    <row r="2251" ht="25" customHeight="1" spans="1:8">
      <c r="A2251" s="6">
        <v>2249</v>
      </c>
      <c r="B2251" s="7" t="str">
        <f t="shared" si="537"/>
        <v>104</v>
      </c>
      <c r="C2251" s="7" t="s">
        <v>1848</v>
      </c>
      <c r="D2251" s="7" t="s">
        <v>1849</v>
      </c>
      <c r="E2251" s="7" t="str">
        <f>"陈昌得"</f>
        <v>陈昌得</v>
      </c>
      <c r="F2251" s="7" t="str">
        <f t="shared" si="540"/>
        <v>男</v>
      </c>
      <c r="G2251" s="7" t="s">
        <v>1916</v>
      </c>
      <c r="H2251" s="8"/>
    </row>
    <row r="2252" ht="25" customHeight="1" spans="1:8">
      <c r="A2252" s="6">
        <v>2250</v>
      </c>
      <c r="B2252" s="7" t="str">
        <f t="shared" si="537"/>
        <v>104</v>
      </c>
      <c r="C2252" s="7" t="s">
        <v>1848</v>
      </c>
      <c r="D2252" s="7" t="s">
        <v>1849</v>
      </c>
      <c r="E2252" s="7" t="str">
        <f>"陈露"</f>
        <v>陈露</v>
      </c>
      <c r="F2252" s="7" t="str">
        <f t="shared" ref="F2252:F2258" si="541">"女"</f>
        <v>女</v>
      </c>
      <c r="G2252" s="7" t="s">
        <v>1917</v>
      </c>
      <c r="H2252" s="8"/>
    </row>
    <row r="2253" ht="25" customHeight="1" spans="1:8">
      <c r="A2253" s="6">
        <v>2251</v>
      </c>
      <c r="B2253" s="7" t="str">
        <f t="shared" si="537"/>
        <v>104</v>
      </c>
      <c r="C2253" s="7" t="s">
        <v>1848</v>
      </c>
      <c r="D2253" s="7" t="s">
        <v>1849</v>
      </c>
      <c r="E2253" s="7" t="str">
        <f>"王子寒"</f>
        <v>王子寒</v>
      </c>
      <c r="F2253" s="7" t="str">
        <f>"男"</f>
        <v>男</v>
      </c>
      <c r="G2253" s="7" t="s">
        <v>1918</v>
      </c>
      <c r="H2253" s="8"/>
    </row>
    <row r="2254" ht="25" customHeight="1" spans="1:8">
      <c r="A2254" s="6">
        <v>2252</v>
      </c>
      <c r="B2254" s="7" t="str">
        <f t="shared" si="537"/>
        <v>104</v>
      </c>
      <c r="C2254" s="7" t="s">
        <v>1848</v>
      </c>
      <c r="D2254" s="7" t="s">
        <v>1849</v>
      </c>
      <c r="E2254" s="7" t="str">
        <f>"崔经艳"</f>
        <v>崔经艳</v>
      </c>
      <c r="F2254" s="7" t="str">
        <f t="shared" si="541"/>
        <v>女</v>
      </c>
      <c r="G2254" s="7" t="s">
        <v>115</v>
      </c>
      <c r="H2254" s="8"/>
    </row>
    <row r="2255" ht="25" customHeight="1" spans="1:8">
      <c r="A2255" s="6">
        <v>2253</v>
      </c>
      <c r="B2255" s="7" t="str">
        <f t="shared" si="537"/>
        <v>104</v>
      </c>
      <c r="C2255" s="7" t="s">
        <v>1848</v>
      </c>
      <c r="D2255" s="7" t="s">
        <v>1849</v>
      </c>
      <c r="E2255" s="7" t="str">
        <f>"陈嘉健"</f>
        <v>陈嘉健</v>
      </c>
      <c r="F2255" s="7" t="str">
        <f>"男"</f>
        <v>男</v>
      </c>
      <c r="G2255" s="7" t="s">
        <v>1919</v>
      </c>
      <c r="H2255" s="8"/>
    </row>
    <row r="2256" ht="25" customHeight="1" spans="1:8">
      <c r="A2256" s="6">
        <v>2254</v>
      </c>
      <c r="B2256" s="7" t="str">
        <f t="shared" si="537"/>
        <v>104</v>
      </c>
      <c r="C2256" s="7" t="s">
        <v>1848</v>
      </c>
      <c r="D2256" s="7" t="s">
        <v>1849</v>
      </c>
      <c r="E2256" s="7" t="str">
        <f>"符业靖"</f>
        <v>符业靖</v>
      </c>
      <c r="F2256" s="7" t="str">
        <f t="shared" si="541"/>
        <v>女</v>
      </c>
      <c r="G2256" s="7" t="s">
        <v>132</v>
      </c>
      <c r="H2256" s="8"/>
    </row>
    <row r="2257" ht="25" customHeight="1" spans="1:8">
      <c r="A2257" s="6">
        <v>2255</v>
      </c>
      <c r="B2257" s="7" t="str">
        <f t="shared" si="537"/>
        <v>104</v>
      </c>
      <c r="C2257" s="7" t="s">
        <v>1848</v>
      </c>
      <c r="D2257" s="7" t="s">
        <v>1849</v>
      </c>
      <c r="E2257" s="7" t="str">
        <f>"张欣雨"</f>
        <v>张欣雨</v>
      </c>
      <c r="F2257" s="7" t="str">
        <f t="shared" si="541"/>
        <v>女</v>
      </c>
      <c r="G2257" s="7" t="s">
        <v>1920</v>
      </c>
      <c r="H2257" s="8"/>
    </row>
    <row r="2258" ht="25" customHeight="1" spans="1:8">
      <c r="A2258" s="6">
        <v>2256</v>
      </c>
      <c r="B2258" s="7" t="str">
        <f t="shared" si="537"/>
        <v>104</v>
      </c>
      <c r="C2258" s="7" t="s">
        <v>1848</v>
      </c>
      <c r="D2258" s="7" t="s">
        <v>1849</v>
      </c>
      <c r="E2258" s="7" t="str">
        <f>"王冏"</f>
        <v>王冏</v>
      </c>
      <c r="F2258" s="7" t="str">
        <f t="shared" si="541"/>
        <v>女</v>
      </c>
      <c r="G2258" s="7" t="s">
        <v>1921</v>
      </c>
      <c r="H2258" s="8"/>
    </row>
    <row r="2259" ht="25" customHeight="1" spans="1:8">
      <c r="A2259" s="6">
        <v>2257</v>
      </c>
      <c r="B2259" s="7" t="str">
        <f t="shared" si="537"/>
        <v>104</v>
      </c>
      <c r="C2259" s="7" t="s">
        <v>1848</v>
      </c>
      <c r="D2259" s="7" t="s">
        <v>1849</v>
      </c>
      <c r="E2259" s="7" t="str">
        <f>"黄超"</f>
        <v>黄超</v>
      </c>
      <c r="F2259" s="7" t="str">
        <f t="shared" ref="F2259:F2262" si="542">"男"</f>
        <v>男</v>
      </c>
      <c r="G2259" s="7" t="s">
        <v>1922</v>
      </c>
      <c r="H2259" s="8"/>
    </row>
    <row r="2260" ht="25" customHeight="1" spans="1:8">
      <c r="A2260" s="6">
        <v>2258</v>
      </c>
      <c r="B2260" s="7" t="str">
        <f t="shared" si="537"/>
        <v>104</v>
      </c>
      <c r="C2260" s="7" t="s">
        <v>1848</v>
      </c>
      <c r="D2260" s="7" t="s">
        <v>1849</v>
      </c>
      <c r="E2260" s="7" t="str">
        <f>"陈太汝"</f>
        <v>陈太汝</v>
      </c>
      <c r="F2260" s="7" t="str">
        <f t="shared" ref="F2260:F2265" si="543">"女"</f>
        <v>女</v>
      </c>
      <c r="G2260" s="7" t="s">
        <v>338</v>
      </c>
      <c r="H2260" s="8"/>
    </row>
    <row r="2261" ht="25" customHeight="1" spans="1:8">
      <c r="A2261" s="6">
        <v>2259</v>
      </c>
      <c r="B2261" s="7" t="str">
        <f t="shared" si="537"/>
        <v>104</v>
      </c>
      <c r="C2261" s="7" t="s">
        <v>1848</v>
      </c>
      <c r="D2261" s="7" t="s">
        <v>1849</v>
      </c>
      <c r="E2261" s="7" t="str">
        <f>"薛升宇"</f>
        <v>薛升宇</v>
      </c>
      <c r="F2261" s="7" t="str">
        <f t="shared" si="542"/>
        <v>男</v>
      </c>
      <c r="G2261" s="7" t="s">
        <v>1923</v>
      </c>
      <c r="H2261" s="8"/>
    </row>
    <row r="2262" ht="25" customHeight="1" spans="1:8">
      <c r="A2262" s="6">
        <v>2260</v>
      </c>
      <c r="B2262" s="7" t="str">
        <f t="shared" si="537"/>
        <v>104</v>
      </c>
      <c r="C2262" s="7" t="s">
        <v>1848</v>
      </c>
      <c r="D2262" s="7" t="s">
        <v>1849</v>
      </c>
      <c r="E2262" s="7" t="str">
        <f>"王嘉洽"</f>
        <v>王嘉洽</v>
      </c>
      <c r="F2262" s="7" t="str">
        <f t="shared" si="542"/>
        <v>男</v>
      </c>
      <c r="G2262" s="7" t="s">
        <v>1423</v>
      </c>
      <c r="H2262" s="8"/>
    </row>
    <row r="2263" ht="25" customHeight="1" spans="1:8">
      <c r="A2263" s="6">
        <v>2261</v>
      </c>
      <c r="B2263" s="7" t="str">
        <f t="shared" si="537"/>
        <v>104</v>
      </c>
      <c r="C2263" s="7" t="s">
        <v>1848</v>
      </c>
      <c r="D2263" s="7" t="s">
        <v>1849</v>
      </c>
      <c r="E2263" s="7" t="str">
        <f>"郑小娜"</f>
        <v>郑小娜</v>
      </c>
      <c r="F2263" s="7" t="str">
        <f t="shared" si="543"/>
        <v>女</v>
      </c>
      <c r="G2263" s="7" t="s">
        <v>1924</v>
      </c>
      <c r="H2263" s="8"/>
    </row>
    <row r="2264" ht="25" customHeight="1" spans="1:8">
      <c r="A2264" s="6">
        <v>2262</v>
      </c>
      <c r="B2264" s="7" t="str">
        <f t="shared" si="537"/>
        <v>104</v>
      </c>
      <c r="C2264" s="7" t="s">
        <v>1848</v>
      </c>
      <c r="D2264" s="7" t="s">
        <v>1849</v>
      </c>
      <c r="E2264" s="7" t="str">
        <f>"郑祖达"</f>
        <v>郑祖达</v>
      </c>
      <c r="F2264" s="7" t="str">
        <f>"男"</f>
        <v>男</v>
      </c>
      <c r="G2264" s="7" t="s">
        <v>510</v>
      </c>
      <c r="H2264" s="8"/>
    </row>
    <row r="2265" ht="25" customHeight="1" spans="1:8">
      <c r="A2265" s="6">
        <v>2263</v>
      </c>
      <c r="B2265" s="7" t="str">
        <f t="shared" si="537"/>
        <v>104</v>
      </c>
      <c r="C2265" s="7" t="s">
        <v>1848</v>
      </c>
      <c r="D2265" s="7" t="s">
        <v>1849</v>
      </c>
      <c r="E2265" s="7" t="str">
        <f>"崔琼文"</f>
        <v>崔琼文</v>
      </c>
      <c r="F2265" s="7" t="str">
        <f t="shared" si="543"/>
        <v>女</v>
      </c>
      <c r="G2265" s="7" t="s">
        <v>1057</v>
      </c>
      <c r="H2265" s="8"/>
    </row>
    <row r="2266" ht="25" customHeight="1" spans="1:8">
      <c r="A2266" s="6">
        <v>2264</v>
      </c>
      <c r="B2266" s="7" t="str">
        <f t="shared" si="537"/>
        <v>104</v>
      </c>
      <c r="C2266" s="7" t="s">
        <v>1848</v>
      </c>
      <c r="D2266" s="7" t="s">
        <v>1849</v>
      </c>
      <c r="E2266" s="7" t="str">
        <f>"黄群"</f>
        <v>黄群</v>
      </c>
      <c r="F2266" s="7" t="str">
        <f>"男"</f>
        <v>男</v>
      </c>
      <c r="G2266" s="7" t="s">
        <v>1925</v>
      </c>
      <c r="H2266" s="8"/>
    </row>
    <row r="2267" ht="25" customHeight="1" spans="1:8">
      <c r="A2267" s="6">
        <v>2265</v>
      </c>
      <c r="B2267" s="7" t="str">
        <f t="shared" si="537"/>
        <v>104</v>
      </c>
      <c r="C2267" s="7" t="s">
        <v>1848</v>
      </c>
      <c r="D2267" s="7" t="s">
        <v>1849</v>
      </c>
      <c r="E2267" s="7" t="str">
        <f>"林玲玉"</f>
        <v>林玲玉</v>
      </c>
      <c r="F2267" s="7" t="str">
        <f t="shared" ref="F2267:F2269" si="544">"女"</f>
        <v>女</v>
      </c>
      <c r="G2267" s="7" t="s">
        <v>1926</v>
      </c>
      <c r="H2267" s="8"/>
    </row>
    <row r="2268" ht="25" customHeight="1" spans="1:8">
      <c r="A2268" s="6">
        <v>2266</v>
      </c>
      <c r="B2268" s="7" t="str">
        <f t="shared" si="537"/>
        <v>104</v>
      </c>
      <c r="C2268" s="7" t="s">
        <v>1848</v>
      </c>
      <c r="D2268" s="7" t="s">
        <v>1849</v>
      </c>
      <c r="E2268" s="7" t="str">
        <f>"韩馨墨"</f>
        <v>韩馨墨</v>
      </c>
      <c r="F2268" s="7" t="str">
        <f t="shared" si="544"/>
        <v>女</v>
      </c>
      <c r="G2268" s="7" t="s">
        <v>1927</v>
      </c>
      <c r="H2268" s="8"/>
    </row>
    <row r="2269" ht="25" customHeight="1" spans="1:8">
      <c r="A2269" s="6">
        <v>2267</v>
      </c>
      <c r="B2269" s="7" t="str">
        <f t="shared" si="537"/>
        <v>104</v>
      </c>
      <c r="C2269" s="7" t="s">
        <v>1848</v>
      </c>
      <c r="D2269" s="7" t="s">
        <v>1849</v>
      </c>
      <c r="E2269" s="7" t="str">
        <f>"徐文凤"</f>
        <v>徐文凤</v>
      </c>
      <c r="F2269" s="7" t="str">
        <f t="shared" si="544"/>
        <v>女</v>
      </c>
      <c r="G2269" s="7" t="s">
        <v>1928</v>
      </c>
      <c r="H2269" s="8"/>
    </row>
    <row r="2270" ht="25" customHeight="1" spans="1:8">
      <c r="A2270" s="6">
        <v>2268</v>
      </c>
      <c r="B2270" s="7" t="str">
        <f t="shared" si="537"/>
        <v>104</v>
      </c>
      <c r="C2270" s="7" t="s">
        <v>1848</v>
      </c>
      <c r="D2270" s="7" t="s">
        <v>1849</v>
      </c>
      <c r="E2270" s="7" t="str">
        <f>"赵瑞祥"</f>
        <v>赵瑞祥</v>
      </c>
      <c r="F2270" s="7" t="str">
        <f t="shared" ref="F2270:F2276" si="545">"男"</f>
        <v>男</v>
      </c>
      <c r="G2270" s="7" t="s">
        <v>1929</v>
      </c>
      <c r="H2270" s="8"/>
    </row>
    <row r="2271" ht="25" customHeight="1" spans="1:8">
      <c r="A2271" s="6">
        <v>2269</v>
      </c>
      <c r="B2271" s="7" t="str">
        <f t="shared" si="537"/>
        <v>104</v>
      </c>
      <c r="C2271" s="7" t="s">
        <v>1848</v>
      </c>
      <c r="D2271" s="7" t="s">
        <v>1849</v>
      </c>
      <c r="E2271" s="7" t="str">
        <f>"李江翠"</f>
        <v>李江翠</v>
      </c>
      <c r="F2271" s="7" t="str">
        <f>"女"</f>
        <v>女</v>
      </c>
      <c r="G2271" s="7" t="s">
        <v>1110</v>
      </c>
      <c r="H2271" s="8"/>
    </row>
    <row r="2272" ht="25" customHeight="1" spans="1:8">
      <c r="A2272" s="6">
        <v>2270</v>
      </c>
      <c r="B2272" s="7" t="str">
        <f t="shared" si="537"/>
        <v>104</v>
      </c>
      <c r="C2272" s="7" t="s">
        <v>1848</v>
      </c>
      <c r="D2272" s="7" t="s">
        <v>1849</v>
      </c>
      <c r="E2272" s="7" t="str">
        <f>"王俊仕"</f>
        <v>王俊仕</v>
      </c>
      <c r="F2272" s="7" t="str">
        <f t="shared" si="545"/>
        <v>男</v>
      </c>
      <c r="G2272" s="7" t="s">
        <v>1930</v>
      </c>
      <c r="H2272" s="8"/>
    </row>
    <row r="2273" ht="25" customHeight="1" spans="1:8">
      <c r="A2273" s="6">
        <v>2271</v>
      </c>
      <c r="B2273" s="7" t="str">
        <f t="shared" si="537"/>
        <v>104</v>
      </c>
      <c r="C2273" s="7" t="s">
        <v>1848</v>
      </c>
      <c r="D2273" s="7" t="s">
        <v>1849</v>
      </c>
      <c r="E2273" s="7" t="str">
        <f>"陈思"</f>
        <v>陈思</v>
      </c>
      <c r="F2273" s="7" t="str">
        <f t="shared" ref="F2273:F2280" si="546">"女"</f>
        <v>女</v>
      </c>
      <c r="G2273" s="7" t="s">
        <v>733</v>
      </c>
      <c r="H2273" s="8"/>
    </row>
    <row r="2274" ht="25" customHeight="1" spans="1:8">
      <c r="A2274" s="6">
        <v>2272</v>
      </c>
      <c r="B2274" s="7" t="str">
        <f t="shared" si="537"/>
        <v>104</v>
      </c>
      <c r="C2274" s="7" t="s">
        <v>1848</v>
      </c>
      <c r="D2274" s="7" t="s">
        <v>1849</v>
      </c>
      <c r="E2274" s="7" t="str">
        <f>"莫荣坤"</f>
        <v>莫荣坤</v>
      </c>
      <c r="F2274" s="7" t="str">
        <f t="shared" si="545"/>
        <v>男</v>
      </c>
      <c r="G2274" s="7" t="s">
        <v>598</v>
      </c>
      <c r="H2274" s="8"/>
    </row>
    <row r="2275" ht="25" customHeight="1" spans="1:8">
      <c r="A2275" s="6">
        <v>2273</v>
      </c>
      <c r="B2275" s="7" t="str">
        <f t="shared" si="537"/>
        <v>104</v>
      </c>
      <c r="C2275" s="7" t="s">
        <v>1848</v>
      </c>
      <c r="D2275" s="7" t="s">
        <v>1849</v>
      </c>
      <c r="E2275" s="7" t="str">
        <f>"杨绩"</f>
        <v>杨绩</v>
      </c>
      <c r="F2275" s="7" t="str">
        <f t="shared" si="545"/>
        <v>男</v>
      </c>
      <c r="G2275" s="7" t="s">
        <v>1931</v>
      </c>
      <c r="H2275" s="8"/>
    </row>
    <row r="2276" ht="25" customHeight="1" spans="1:8">
      <c r="A2276" s="6">
        <v>2274</v>
      </c>
      <c r="B2276" s="7" t="str">
        <f t="shared" si="537"/>
        <v>104</v>
      </c>
      <c r="C2276" s="7" t="s">
        <v>1848</v>
      </c>
      <c r="D2276" s="7" t="s">
        <v>1849</v>
      </c>
      <c r="E2276" s="7" t="str">
        <f>"吴乾春"</f>
        <v>吴乾春</v>
      </c>
      <c r="F2276" s="7" t="str">
        <f t="shared" si="545"/>
        <v>男</v>
      </c>
      <c r="G2276" s="7" t="s">
        <v>464</v>
      </c>
      <c r="H2276" s="8"/>
    </row>
    <row r="2277" ht="25" customHeight="1" spans="1:8">
      <c r="A2277" s="6">
        <v>2275</v>
      </c>
      <c r="B2277" s="7" t="str">
        <f t="shared" si="537"/>
        <v>104</v>
      </c>
      <c r="C2277" s="7" t="s">
        <v>1848</v>
      </c>
      <c r="D2277" s="7" t="s">
        <v>1849</v>
      </c>
      <c r="E2277" s="7" t="str">
        <f>"谭悦辛"</f>
        <v>谭悦辛</v>
      </c>
      <c r="F2277" s="7" t="str">
        <f t="shared" si="546"/>
        <v>女</v>
      </c>
      <c r="G2277" s="7" t="s">
        <v>1932</v>
      </c>
      <c r="H2277" s="8"/>
    </row>
    <row r="2278" ht="25" customHeight="1" spans="1:8">
      <c r="A2278" s="6">
        <v>2276</v>
      </c>
      <c r="B2278" s="7" t="str">
        <f t="shared" si="537"/>
        <v>104</v>
      </c>
      <c r="C2278" s="7" t="s">
        <v>1848</v>
      </c>
      <c r="D2278" s="7" t="s">
        <v>1849</v>
      </c>
      <c r="E2278" s="7" t="str">
        <f>"吴晶霞"</f>
        <v>吴晶霞</v>
      </c>
      <c r="F2278" s="7" t="str">
        <f t="shared" si="546"/>
        <v>女</v>
      </c>
      <c r="G2278" s="7" t="s">
        <v>1933</v>
      </c>
      <c r="H2278" s="8"/>
    </row>
    <row r="2279" ht="25" customHeight="1" spans="1:8">
      <c r="A2279" s="6">
        <v>2277</v>
      </c>
      <c r="B2279" s="7" t="str">
        <f t="shared" si="537"/>
        <v>104</v>
      </c>
      <c r="C2279" s="7" t="s">
        <v>1848</v>
      </c>
      <c r="D2279" s="7" t="s">
        <v>1849</v>
      </c>
      <c r="E2279" s="7" t="str">
        <f>"李卓玥"</f>
        <v>李卓玥</v>
      </c>
      <c r="F2279" s="7" t="str">
        <f t="shared" si="546"/>
        <v>女</v>
      </c>
      <c r="G2279" s="7" t="s">
        <v>1934</v>
      </c>
      <c r="H2279" s="8"/>
    </row>
    <row r="2280" ht="25" customHeight="1" spans="1:8">
      <c r="A2280" s="6">
        <v>2278</v>
      </c>
      <c r="B2280" s="7" t="str">
        <f t="shared" si="537"/>
        <v>104</v>
      </c>
      <c r="C2280" s="7" t="s">
        <v>1848</v>
      </c>
      <c r="D2280" s="7" t="s">
        <v>1849</v>
      </c>
      <c r="E2280" s="7" t="str">
        <f>"薛井德"</f>
        <v>薛井德</v>
      </c>
      <c r="F2280" s="7" t="str">
        <f t="shared" si="546"/>
        <v>女</v>
      </c>
      <c r="G2280" s="7" t="s">
        <v>1935</v>
      </c>
      <c r="H2280" s="8"/>
    </row>
    <row r="2281" ht="25" customHeight="1" spans="1:8">
      <c r="A2281" s="6">
        <v>2279</v>
      </c>
      <c r="B2281" s="7" t="str">
        <f t="shared" si="537"/>
        <v>104</v>
      </c>
      <c r="C2281" s="7" t="s">
        <v>1848</v>
      </c>
      <c r="D2281" s="7" t="s">
        <v>1849</v>
      </c>
      <c r="E2281" s="7" t="str">
        <f>"韩昊伦"</f>
        <v>韩昊伦</v>
      </c>
      <c r="F2281" s="7" t="str">
        <f t="shared" ref="F2281:F2284" si="547">"男"</f>
        <v>男</v>
      </c>
      <c r="G2281" s="7" t="s">
        <v>744</v>
      </c>
      <c r="H2281" s="8"/>
    </row>
    <row r="2282" ht="25" customHeight="1" spans="1:8">
      <c r="A2282" s="6">
        <v>2280</v>
      </c>
      <c r="B2282" s="7" t="str">
        <f t="shared" si="537"/>
        <v>104</v>
      </c>
      <c r="C2282" s="7" t="s">
        <v>1848</v>
      </c>
      <c r="D2282" s="7" t="s">
        <v>1849</v>
      </c>
      <c r="E2282" s="7" t="str">
        <f>"林燕子"</f>
        <v>林燕子</v>
      </c>
      <c r="F2282" s="7" t="str">
        <f t="shared" ref="F2282:F2286" si="548">"女"</f>
        <v>女</v>
      </c>
      <c r="G2282" s="7" t="s">
        <v>194</v>
      </c>
      <c r="H2282" s="8"/>
    </row>
    <row r="2283" ht="25" customHeight="1" spans="1:8">
      <c r="A2283" s="6">
        <v>2281</v>
      </c>
      <c r="B2283" s="7" t="str">
        <f t="shared" si="537"/>
        <v>104</v>
      </c>
      <c r="C2283" s="7" t="s">
        <v>1848</v>
      </c>
      <c r="D2283" s="7" t="s">
        <v>1849</v>
      </c>
      <c r="E2283" s="7" t="str">
        <f>"李琦"</f>
        <v>李琦</v>
      </c>
      <c r="F2283" s="7" t="str">
        <f t="shared" si="547"/>
        <v>男</v>
      </c>
      <c r="G2283" s="7" t="s">
        <v>1936</v>
      </c>
      <c r="H2283" s="8"/>
    </row>
    <row r="2284" ht="25" customHeight="1" spans="1:8">
      <c r="A2284" s="6">
        <v>2282</v>
      </c>
      <c r="B2284" s="7" t="str">
        <f t="shared" si="537"/>
        <v>104</v>
      </c>
      <c r="C2284" s="7" t="s">
        <v>1848</v>
      </c>
      <c r="D2284" s="7" t="s">
        <v>1849</v>
      </c>
      <c r="E2284" s="7" t="str">
        <f>"朱启翔"</f>
        <v>朱启翔</v>
      </c>
      <c r="F2284" s="7" t="str">
        <f t="shared" si="547"/>
        <v>男</v>
      </c>
      <c r="G2284" s="7" t="s">
        <v>1937</v>
      </c>
      <c r="H2284" s="8"/>
    </row>
    <row r="2285" ht="25" customHeight="1" spans="1:8">
      <c r="A2285" s="6">
        <v>2283</v>
      </c>
      <c r="B2285" s="7" t="str">
        <f t="shared" si="537"/>
        <v>104</v>
      </c>
      <c r="C2285" s="7" t="s">
        <v>1848</v>
      </c>
      <c r="D2285" s="7" t="s">
        <v>1849</v>
      </c>
      <c r="E2285" s="7" t="str">
        <f>"黄奕"</f>
        <v>黄奕</v>
      </c>
      <c r="F2285" s="7" t="str">
        <f t="shared" si="548"/>
        <v>女</v>
      </c>
      <c r="G2285" s="7" t="s">
        <v>775</v>
      </c>
      <c r="H2285" s="8"/>
    </row>
    <row r="2286" ht="25" customHeight="1" spans="1:8">
      <c r="A2286" s="6">
        <v>2284</v>
      </c>
      <c r="B2286" s="7" t="str">
        <f t="shared" si="537"/>
        <v>104</v>
      </c>
      <c r="C2286" s="7" t="s">
        <v>1848</v>
      </c>
      <c r="D2286" s="7" t="s">
        <v>1849</v>
      </c>
      <c r="E2286" s="7" t="str">
        <f>"郑夏冰"</f>
        <v>郑夏冰</v>
      </c>
      <c r="F2286" s="7" t="str">
        <f t="shared" si="548"/>
        <v>女</v>
      </c>
      <c r="G2286" s="7" t="s">
        <v>606</v>
      </c>
      <c r="H2286" s="8"/>
    </row>
    <row r="2287" ht="25" customHeight="1" spans="1:8">
      <c r="A2287" s="6">
        <v>2285</v>
      </c>
      <c r="B2287" s="7" t="str">
        <f t="shared" si="537"/>
        <v>104</v>
      </c>
      <c r="C2287" s="7" t="s">
        <v>1848</v>
      </c>
      <c r="D2287" s="7" t="s">
        <v>1849</v>
      </c>
      <c r="E2287" s="7" t="str">
        <f>"林惠斌"</f>
        <v>林惠斌</v>
      </c>
      <c r="F2287" s="7" t="str">
        <f t="shared" ref="F2287:F2291" si="549">"男"</f>
        <v>男</v>
      </c>
      <c r="G2287" s="7" t="s">
        <v>1938</v>
      </c>
      <c r="H2287" s="8"/>
    </row>
    <row r="2288" ht="25" customHeight="1" spans="1:8">
      <c r="A2288" s="6">
        <v>2286</v>
      </c>
      <c r="B2288" s="7" t="str">
        <f t="shared" si="537"/>
        <v>104</v>
      </c>
      <c r="C2288" s="7" t="s">
        <v>1848</v>
      </c>
      <c r="D2288" s="7" t="s">
        <v>1849</v>
      </c>
      <c r="E2288" s="7" t="str">
        <f>"陈晓兰"</f>
        <v>陈晓兰</v>
      </c>
      <c r="F2288" s="7" t="str">
        <f t="shared" ref="F2288:F2292" si="550">"女"</f>
        <v>女</v>
      </c>
      <c r="G2288" s="7" t="s">
        <v>1939</v>
      </c>
      <c r="H2288" s="8"/>
    </row>
    <row r="2289" ht="25" customHeight="1" spans="1:8">
      <c r="A2289" s="6">
        <v>2287</v>
      </c>
      <c r="B2289" s="7" t="str">
        <f t="shared" si="537"/>
        <v>104</v>
      </c>
      <c r="C2289" s="7" t="s">
        <v>1848</v>
      </c>
      <c r="D2289" s="7" t="s">
        <v>1849</v>
      </c>
      <c r="E2289" s="7" t="str">
        <f>"王涛"</f>
        <v>王涛</v>
      </c>
      <c r="F2289" s="7" t="str">
        <f t="shared" si="549"/>
        <v>男</v>
      </c>
      <c r="G2289" s="7" t="s">
        <v>1940</v>
      </c>
      <c r="H2289" s="8"/>
    </row>
    <row r="2290" ht="25" customHeight="1" spans="1:8">
      <c r="A2290" s="6">
        <v>2288</v>
      </c>
      <c r="B2290" s="7" t="str">
        <f t="shared" si="537"/>
        <v>104</v>
      </c>
      <c r="C2290" s="7" t="s">
        <v>1848</v>
      </c>
      <c r="D2290" s="7" t="s">
        <v>1849</v>
      </c>
      <c r="E2290" s="7" t="str">
        <f>"王孟玉"</f>
        <v>王孟玉</v>
      </c>
      <c r="F2290" s="7" t="str">
        <f t="shared" si="550"/>
        <v>女</v>
      </c>
      <c r="G2290" s="7" t="s">
        <v>1941</v>
      </c>
      <c r="H2290" s="8"/>
    </row>
    <row r="2291" ht="25" customHeight="1" spans="1:8">
      <c r="A2291" s="6">
        <v>2289</v>
      </c>
      <c r="B2291" s="7" t="str">
        <f t="shared" si="537"/>
        <v>104</v>
      </c>
      <c r="C2291" s="7" t="s">
        <v>1848</v>
      </c>
      <c r="D2291" s="7" t="s">
        <v>1849</v>
      </c>
      <c r="E2291" s="7" t="str">
        <f>"郭美琦"</f>
        <v>郭美琦</v>
      </c>
      <c r="F2291" s="7" t="str">
        <f t="shared" si="549"/>
        <v>男</v>
      </c>
      <c r="G2291" s="7" t="s">
        <v>1942</v>
      </c>
      <c r="H2291" s="8"/>
    </row>
    <row r="2292" ht="25" customHeight="1" spans="1:8">
      <c r="A2292" s="6">
        <v>2290</v>
      </c>
      <c r="B2292" s="7" t="str">
        <f t="shared" si="537"/>
        <v>104</v>
      </c>
      <c r="C2292" s="7" t="s">
        <v>1848</v>
      </c>
      <c r="D2292" s="7" t="s">
        <v>1849</v>
      </c>
      <c r="E2292" s="7" t="str">
        <f>"陈伊雯"</f>
        <v>陈伊雯</v>
      </c>
      <c r="F2292" s="7" t="str">
        <f t="shared" si="550"/>
        <v>女</v>
      </c>
      <c r="G2292" s="7" t="s">
        <v>1943</v>
      </c>
      <c r="H2292" s="8"/>
    </row>
    <row r="2293" ht="25" customHeight="1" spans="1:8">
      <c r="A2293" s="6">
        <v>2291</v>
      </c>
      <c r="B2293" s="7" t="str">
        <f t="shared" si="537"/>
        <v>104</v>
      </c>
      <c r="C2293" s="7" t="s">
        <v>1848</v>
      </c>
      <c r="D2293" s="7" t="s">
        <v>1849</v>
      </c>
      <c r="E2293" s="7" t="str">
        <f>"罗之然"</f>
        <v>罗之然</v>
      </c>
      <c r="F2293" s="7" t="str">
        <f t="shared" ref="F2293:F2296" si="551">"男"</f>
        <v>男</v>
      </c>
      <c r="G2293" s="7" t="s">
        <v>1944</v>
      </c>
      <c r="H2293" s="8"/>
    </row>
    <row r="2294" ht="25" customHeight="1" spans="1:8">
      <c r="A2294" s="6">
        <v>2292</v>
      </c>
      <c r="B2294" s="7" t="str">
        <f t="shared" si="537"/>
        <v>104</v>
      </c>
      <c r="C2294" s="7" t="s">
        <v>1848</v>
      </c>
      <c r="D2294" s="7" t="s">
        <v>1849</v>
      </c>
      <c r="E2294" s="7" t="str">
        <f>"黄龙"</f>
        <v>黄龙</v>
      </c>
      <c r="F2294" s="7" t="str">
        <f t="shared" si="551"/>
        <v>男</v>
      </c>
      <c r="G2294" s="7" t="s">
        <v>1945</v>
      </c>
      <c r="H2294" s="8"/>
    </row>
    <row r="2295" ht="25" customHeight="1" spans="1:8">
      <c r="A2295" s="6">
        <v>2293</v>
      </c>
      <c r="B2295" s="7" t="str">
        <f t="shared" si="537"/>
        <v>104</v>
      </c>
      <c r="C2295" s="7" t="s">
        <v>1848</v>
      </c>
      <c r="D2295" s="7" t="s">
        <v>1849</v>
      </c>
      <c r="E2295" s="7" t="str">
        <f>"钟尊爽"</f>
        <v>钟尊爽</v>
      </c>
      <c r="F2295" s="7" t="str">
        <f t="shared" si="551"/>
        <v>男</v>
      </c>
      <c r="G2295" s="7" t="s">
        <v>693</v>
      </c>
      <c r="H2295" s="8"/>
    </row>
    <row r="2296" ht="25" customHeight="1" spans="1:8">
      <c r="A2296" s="6">
        <v>2294</v>
      </c>
      <c r="B2296" s="7" t="str">
        <f t="shared" si="537"/>
        <v>104</v>
      </c>
      <c r="C2296" s="7" t="s">
        <v>1848</v>
      </c>
      <c r="D2296" s="7" t="s">
        <v>1849</v>
      </c>
      <c r="E2296" s="7" t="str">
        <f>"余运鸿"</f>
        <v>余运鸿</v>
      </c>
      <c r="F2296" s="7" t="str">
        <f t="shared" si="551"/>
        <v>男</v>
      </c>
      <c r="G2296" s="7" t="s">
        <v>1946</v>
      </c>
      <c r="H2296" s="8"/>
    </row>
    <row r="2297" ht="25" customHeight="1" spans="1:8">
      <c r="A2297" s="6">
        <v>2295</v>
      </c>
      <c r="B2297" s="7" t="str">
        <f t="shared" si="537"/>
        <v>104</v>
      </c>
      <c r="C2297" s="7" t="s">
        <v>1848</v>
      </c>
      <c r="D2297" s="7" t="s">
        <v>1849</v>
      </c>
      <c r="E2297" s="7" t="str">
        <f>"戴蕊"</f>
        <v>戴蕊</v>
      </c>
      <c r="F2297" s="7" t="str">
        <f t="shared" ref="F2297:F2300" si="552">"女"</f>
        <v>女</v>
      </c>
      <c r="G2297" s="7" t="s">
        <v>1947</v>
      </c>
      <c r="H2297" s="8"/>
    </row>
    <row r="2298" ht="25" customHeight="1" spans="1:8">
      <c r="A2298" s="6">
        <v>2296</v>
      </c>
      <c r="B2298" s="7" t="str">
        <f t="shared" si="537"/>
        <v>104</v>
      </c>
      <c r="C2298" s="7" t="s">
        <v>1848</v>
      </c>
      <c r="D2298" s="7" t="s">
        <v>1849</v>
      </c>
      <c r="E2298" s="7" t="str">
        <f>"黎启晓"</f>
        <v>黎启晓</v>
      </c>
      <c r="F2298" s="7" t="str">
        <f t="shared" si="552"/>
        <v>女</v>
      </c>
      <c r="G2298" s="7" t="s">
        <v>10</v>
      </c>
      <c r="H2298" s="8"/>
    </row>
    <row r="2299" ht="25" customHeight="1" spans="1:8">
      <c r="A2299" s="6">
        <v>2297</v>
      </c>
      <c r="B2299" s="7" t="str">
        <f t="shared" si="537"/>
        <v>104</v>
      </c>
      <c r="C2299" s="7" t="s">
        <v>1848</v>
      </c>
      <c r="D2299" s="7" t="s">
        <v>1849</v>
      </c>
      <c r="E2299" s="7" t="str">
        <f>"李嘉诚"</f>
        <v>李嘉诚</v>
      </c>
      <c r="F2299" s="7" t="str">
        <f t="shared" ref="F2299:F2302" si="553">"男"</f>
        <v>男</v>
      </c>
      <c r="G2299" s="7" t="s">
        <v>1948</v>
      </c>
      <c r="H2299" s="8"/>
    </row>
    <row r="2300" ht="25" customHeight="1" spans="1:8">
      <c r="A2300" s="6">
        <v>2298</v>
      </c>
      <c r="B2300" s="7" t="str">
        <f t="shared" si="537"/>
        <v>104</v>
      </c>
      <c r="C2300" s="7" t="s">
        <v>1848</v>
      </c>
      <c r="D2300" s="7" t="s">
        <v>1849</v>
      </c>
      <c r="E2300" s="7" t="str">
        <f>"杨颖慧"</f>
        <v>杨颖慧</v>
      </c>
      <c r="F2300" s="7" t="str">
        <f t="shared" si="552"/>
        <v>女</v>
      </c>
      <c r="G2300" s="7" t="s">
        <v>1949</v>
      </c>
      <c r="H2300" s="8"/>
    </row>
    <row r="2301" ht="25" customHeight="1" spans="1:8">
      <c r="A2301" s="6">
        <v>2299</v>
      </c>
      <c r="B2301" s="7" t="str">
        <f t="shared" si="537"/>
        <v>104</v>
      </c>
      <c r="C2301" s="7" t="s">
        <v>1848</v>
      </c>
      <c r="D2301" s="7" t="s">
        <v>1849</v>
      </c>
      <c r="E2301" s="7" t="str">
        <f>"钟毅"</f>
        <v>钟毅</v>
      </c>
      <c r="F2301" s="7" t="str">
        <f t="shared" si="553"/>
        <v>男</v>
      </c>
      <c r="G2301" s="7" t="s">
        <v>1950</v>
      </c>
      <c r="H2301" s="8"/>
    </row>
    <row r="2302" ht="25" customHeight="1" spans="1:8">
      <c r="A2302" s="6">
        <v>2300</v>
      </c>
      <c r="B2302" s="7" t="str">
        <f t="shared" si="537"/>
        <v>104</v>
      </c>
      <c r="C2302" s="7" t="s">
        <v>1848</v>
      </c>
      <c r="D2302" s="7" t="s">
        <v>1849</v>
      </c>
      <c r="E2302" s="7" t="str">
        <f>"陈积该"</f>
        <v>陈积该</v>
      </c>
      <c r="F2302" s="7" t="str">
        <f t="shared" si="553"/>
        <v>男</v>
      </c>
      <c r="G2302" s="7" t="s">
        <v>1951</v>
      </c>
      <c r="H2302" s="8"/>
    </row>
    <row r="2303" ht="25" customHeight="1" spans="1:8">
      <c r="A2303" s="6">
        <v>2301</v>
      </c>
      <c r="B2303" s="7" t="str">
        <f t="shared" ref="B2303:B2366" si="554">"104"</f>
        <v>104</v>
      </c>
      <c r="C2303" s="7" t="s">
        <v>1848</v>
      </c>
      <c r="D2303" s="7" t="s">
        <v>1849</v>
      </c>
      <c r="E2303" s="7" t="str">
        <f>"陈玉"</f>
        <v>陈玉</v>
      </c>
      <c r="F2303" s="7" t="str">
        <f t="shared" ref="F2303:F2306" si="555">"女"</f>
        <v>女</v>
      </c>
      <c r="G2303" s="7" t="s">
        <v>1161</v>
      </c>
      <c r="H2303" s="8"/>
    </row>
    <row r="2304" ht="25" customHeight="1" spans="1:8">
      <c r="A2304" s="6">
        <v>2302</v>
      </c>
      <c r="B2304" s="7" t="str">
        <f t="shared" si="554"/>
        <v>104</v>
      </c>
      <c r="C2304" s="7" t="s">
        <v>1848</v>
      </c>
      <c r="D2304" s="7" t="s">
        <v>1849</v>
      </c>
      <c r="E2304" s="7" t="str">
        <f>"冯丹虹"</f>
        <v>冯丹虹</v>
      </c>
      <c r="F2304" s="7" t="str">
        <f t="shared" si="555"/>
        <v>女</v>
      </c>
      <c r="G2304" s="7" t="s">
        <v>1278</v>
      </c>
      <c r="H2304" s="8"/>
    </row>
    <row r="2305" ht="25" customHeight="1" spans="1:8">
      <c r="A2305" s="6">
        <v>2303</v>
      </c>
      <c r="B2305" s="7" t="str">
        <f t="shared" si="554"/>
        <v>104</v>
      </c>
      <c r="C2305" s="7" t="s">
        <v>1848</v>
      </c>
      <c r="D2305" s="7" t="s">
        <v>1849</v>
      </c>
      <c r="E2305" s="7" t="str">
        <f>"许林桃"</f>
        <v>许林桃</v>
      </c>
      <c r="F2305" s="7" t="str">
        <f t="shared" si="555"/>
        <v>女</v>
      </c>
      <c r="G2305" s="7" t="s">
        <v>1952</v>
      </c>
      <c r="H2305" s="8"/>
    </row>
    <row r="2306" ht="25" customHeight="1" spans="1:8">
      <c r="A2306" s="6">
        <v>2304</v>
      </c>
      <c r="B2306" s="7" t="str">
        <f t="shared" si="554"/>
        <v>104</v>
      </c>
      <c r="C2306" s="7" t="s">
        <v>1848</v>
      </c>
      <c r="D2306" s="7" t="s">
        <v>1849</v>
      </c>
      <c r="E2306" s="7" t="str">
        <f>"吴海棠"</f>
        <v>吴海棠</v>
      </c>
      <c r="F2306" s="7" t="str">
        <f t="shared" si="555"/>
        <v>女</v>
      </c>
      <c r="G2306" s="7" t="s">
        <v>330</v>
      </c>
      <c r="H2306" s="8"/>
    </row>
    <row r="2307" ht="25" customHeight="1" spans="1:8">
      <c r="A2307" s="6">
        <v>2305</v>
      </c>
      <c r="B2307" s="7" t="str">
        <f t="shared" si="554"/>
        <v>104</v>
      </c>
      <c r="C2307" s="7" t="s">
        <v>1848</v>
      </c>
      <c r="D2307" s="7" t="s">
        <v>1849</v>
      </c>
      <c r="E2307" s="7" t="str">
        <f>"翁懋军"</f>
        <v>翁懋军</v>
      </c>
      <c r="F2307" s="7" t="str">
        <f t="shared" ref="F2307:F2309" si="556">"男"</f>
        <v>男</v>
      </c>
      <c r="G2307" s="7" t="s">
        <v>1953</v>
      </c>
      <c r="H2307" s="8"/>
    </row>
    <row r="2308" ht="25" customHeight="1" spans="1:8">
      <c r="A2308" s="6">
        <v>2306</v>
      </c>
      <c r="B2308" s="7" t="str">
        <f t="shared" si="554"/>
        <v>104</v>
      </c>
      <c r="C2308" s="7" t="s">
        <v>1848</v>
      </c>
      <c r="D2308" s="7" t="s">
        <v>1849</v>
      </c>
      <c r="E2308" s="7" t="str">
        <f>"万文海"</f>
        <v>万文海</v>
      </c>
      <c r="F2308" s="7" t="str">
        <f t="shared" si="556"/>
        <v>男</v>
      </c>
      <c r="G2308" s="7" t="s">
        <v>900</v>
      </c>
      <c r="H2308" s="8"/>
    </row>
    <row r="2309" ht="25" customHeight="1" spans="1:8">
      <c r="A2309" s="6">
        <v>2307</v>
      </c>
      <c r="B2309" s="7" t="str">
        <f t="shared" si="554"/>
        <v>104</v>
      </c>
      <c r="C2309" s="7" t="s">
        <v>1848</v>
      </c>
      <c r="D2309" s="7" t="s">
        <v>1849</v>
      </c>
      <c r="E2309" s="7" t="str">
        <f>"徐灼"</f>
        <v>徐灼</v>
      </c>
      <c r="F2309" s="7" t="str">
        <f t="shared" si="556"/>
        <v>男</v>
      </c>
      <c r="G2309" s="7" t="s">
        <v>1954</v>
      </c>
      <c r="H2309" s="8"/>
    </row>
    <row r="2310" ht="25" customHeight="1" spans="1:8">
      <c r="A2310" s="6">
        <v>2308</v>
      </c>
      <c r="B2310" s="7" t="str">
        <f t="shared" si="554"/>
        <v>104</v>
      </c>
      <c r="C2310" s="7" t="s">
        <v>1848</v>
      </c>
      <c r="D2310" s="7" t="s">
        <v>1849</v>
      </c>
      <c r="E2310" s="7" t="str">
        <f>"王璐"</f>
        <v>王璐</v>
      </c>
      <c r="F2310" s="7" t="str">
        <f t="shared" ref="F2310:F2320" si="557">"女"</f>
        <v>女</v>
      </c>
      <c r="G2310" s="7" t="s">
        <v>841</v>
      </c>
      <c r="H2310" s="8"/>
    </row>
    <row r="2311" ht="25" customHeight="1" spans="1:8">
      <c r="A2311" s="6">
        <v>2309</v>
      </c>
      <c r="B2311" s="7" t="str">
        <f t="shared" si="554"/>
        <v>104</v>
      </c>
      <c r="C2311" s="7" t="s">
        <v>1848</v>
      </c>
      <c r="D2311" s="7" t="s">
        <v>1849</v>
      </c>
      <c r="E2311" s="7" t="str">
        <f>"符占夏"</f>
        <v>符占夏</v>
      </c>
      <c r="F2311" s="7" t="str">
        <f t="shared" ref="F2311:F2314" si="558">"男"</f>
        <v>男</v>
      </c>
      <c r="G2311" s="7" t="s">
        <v>1955</v>
      </c>
      <c r="H2311" s="8"/>
    </row>
    <row r="2312" ht="25" customHeight="1" spans="1:8">
      <c r="A2312" s="6">
        <v>2310</v>
      </c>
      <c r="B2312" s="7" t="str">
        <f t="shared" si="554"/>
        <v>104</v>
      </c>
      <c r="C2312" s="7" t="s">
        <v>1848</v>
      </c>
      <c r="D2312" s="7" t="s">
        <v>1849</v>
      </c>
      <c r="E2312" s="7" t="str">
        <f>"王美雲"</f>
        <v>王美雲</v>
      </c>
      <c r="F2312" s="7" t="str">
        <f t="shared" si="557"/>
        <v>女</v>
      </c>
      <c r="G2312" s="7" t="s">
        <v>1956</v>
      </c>
      <c r="H2312" s="8"/>
    </row>
    <row r="2313" ht="25" customHeight="1" spans="1:8">
      <c r="A2313" s="6">
        <v>2311</v>
      </c>
      <c r="B2313" s="7" t="str">
        <f t="shared" si="554"/>
        <v>104</v>
      </c>
      <c r="C2313" s="7" t="s">
        <v>1848</v>
      </c>
      <c r="D2313" s="7" t="s">
        <v>1849</v>
      </c>
      <c r="E2313" s="7" t="str">
        <f>"林超"</f>
        <v>林超</v>
      </c>
      <c r="F2313" s="7" t="str">
        <f t="shared" si="558"/>
        <v>男</v>
      </c>
      <c r="G2313" s="7" t="s">
        <v>1957</v>
      </c>
      <c r="H2313" s="8"/>
    </row>
    <row r="2314" ht="25" customHeight="1" spans="1:8">
      <c r="A2314" s="6">
        <v>2312</v>
      </c>
      <c r="B2314" s="7" t="str">
        <f t="shared" si="554"/>
        <v>104</v>
      </c>
      <c r="C2314" s="7" t="s">
        <v>1848</v>
      </c>
      <c r="D2314" s="7" t="s">
        <v>1849</v>
      </c>
      <c r="E2314" s="7" t="str">
        <f>"陈伟轩"</f>
        <v>陈伟轩</v>
      </c>
      <c r="F2314" s="7" t="str">
        <f t="shared" si="558"/>
        <v>男</v>
      </c>
      <c r="G2314" s="7" t="s">
        <v>1958</v>
      </c>
      <c r="H2314" s="8"/>
    </row>
    <row r="2315" ht="25" customHeight="1" spans="1:8">
      <c r="A2315" s="6">
        <v>2313</v>
      </c>
      <c r="B2315" s="7" t="str">
        <f t="shared" si="554"/>
        <v>104</v>
      </c>
      <c r="C2315" s="7" t="s">
        <v>1848</v>
      </c>
      <c r="D2315" s="7" t="s">
        <v>1849</v>
      </c>
      <c r="E2315" s="7" t="str">
        <f>"赖静怡"</f>
        <v>赖静怡</v>
      </c>
      <c r="F2315" s="7" t="str">
        <f t="shared" si="557"/>
        <v>女</v>
      </c>
      <c r="G2315" s="7" t="s">
        <v>375</v>
      </c>
      <c r="H2315" s="8"/>
    </row>
    <row r="2316" ht="25" customHeight="1" spans="1:8">
      <c r="A2316" s="6">
        <v>2314</v>
      </c>
      <c r="B2316" s="7" t="str">
        <f t="shared" si="554"/>
        <v>104</v>
      </c>
      <c r="C2316" s="7" t="s">
        <v>1848</v>
      </c>
      <c r="D2316" s="7" t="s">
        <v>1849</v>
      </c>
      <c r="E2316" s="7" t="str">
        <f>"麦子亢"</f>
        <v>麦子亢</v>
      </c>
      <c r="F2316" s="7" t="str">
        <f t="shared" si="557"/>
        <v>女</v>
      </c>
      <c r="G2316" s="7" t="s">
        <v>1959</v>
      </c>
      <c r="H2316" s="8"/>
    </row>
    <row r="2317" ht="25" customHeight="1" spans="1:8">
      <c r="A2317" s="6">
        <v>2315</v>
      </c>
      <c r="B2317" s="7" t="str">
        <f t="shared" si="554"/>
        <v>104</v>
      </c>
      <c r="C2317" s="7" t="s">
        <v>1848</v>
      </c>
      <c r="D2317" s="7" t="s">
        <v>1849</v>
      </c>
      <c r="E2317" s="7" t="str">
        <f>"符潮霞"</f>
        <v>符潮霞</v>
      </c>
      <c r="F2317" s="7" t="str">
        <f t="shared" si="557"/>
        <v>女</v>
      </c>
      <c r="G2317" s="7" t="s">
        <v>1395</v>
      </c>
      <c r="H2317" s="8"/>
    </row>
    <row r="2318" ht="25" customHeight="1" spans="1:8">
      <c r="A2318" s="6">
        <v>2316</v>
      </c>
      <c r="B2318" s="7" t="str">
        <f t="shared" si="554"/>
        <v>104</v>
      </c>
      <c r="C2318" s="7" t="s">
        <v>1848</v>
      </c>
      <c r="D2318" s="7" t="s">
        <v>1849</v>
      </c>
      <c r="E2318" s="7" t="str">
        <f>"左芯竹"</f>
        <v>左芯竹</v>
      </c>
      <c r="F2318" s="7" t="str">
        <f t="shared" si="557"/>
        <v>女</v>
      </c>
      <c r="G2318" s="7" t="s">
        <v>1960</v>
      </c>
      <c r="H2318" s="8"/>
    </row>
    <row r="2319" ht="25" customHeight="1" spans="1:8">
      <c r="A2319" s="6">
        <v>2317</v>
      </c>
      <c r="B2319" s="7" t="str">
        <f t="shared" si="554"/>
        <v>104</v>
      </c>
      <c r="C2319" s="7" t="s">
        <v>1848</v>
      </c>
      <c r="D2319" s="7" t="s">
        <v>1849</v>
      </c>
      <c r="E2319" s="7" t="str">
        <f>"颜福玲"</f>
        <v>颜福玲</v>
      </c>
      <c r="F2319" s="7" t="str">
        <f t="shared" si="557"/>
        <v>女</v>
      </c>
      <c r="G2319" s="7" t="s">
        <v>1961</v>
      </c>
      <c r="H2319" s="8"/>
    </row>
    <row r="2320" ht="25" customHeight="1" spans="1:8">
      <c r="A2320" s="6">
        <v>2318</v>
      </c>
      <c r="B2320" s="7" t="str">
        <f t="shared" si="554"/>
        <v>104</v>
      </c>
      <c r="C2320" s="7" t="s">
        <v>1848</v>
      </c>
      <c r="D2320" s="7" t="s">
        <v>1849</v>
      </c>
      <c r="E2320" s="7" t="str">
        <f>"符诗慧"</f>
        <v>符诗慧</v>
      </c>
      <c r="F2320" s="7" t="str">
        <f t="shared" si="557"/>
        <v>女</v>
      </c>
      <c r="G2320" s="7" t="s">
        <v>1962</v>
      </c>
      <c r="H2320" s="8"/>
    </row>
    <row r="2321" ht="25" customHeight="1" spans="1:8">
      <c r="A2321" s="6">
        <v>2319</v>
      </c>
      <c r="B2321" s="7" t="str">
        <f t="shared" si="554"/>
        <v>104</v>
      </c>
      <c r="C2321" s="7" t="s">
        <v>1848</v>
      </c>
      <c r="D2321" s="7" t="s">
        <v>1849</v>
      </c>
      <c r="E2321" s="7" t="str">
        <f>"周圣浩"</f>
        <v>周圣浩</v>
      </c>
      <c r="F2321" s="7" t="str">
        <f t="shared" ref="F2321:F2326" si="559">"男"</f>
        <v>男</v>
      </c>
      <c r="G2321" s="7" t="s">
        <v>1963</v>
      </c>
      <c r="H2321" s="8"/>
    </row>
    <row r="2322" ht="25" customHeight="1" spans="1:8">
      <c r="A2322" s="6">
        <v>2320</v>
      </c>
      <c r="B2322" s="7" t="str">
        <f t="shared" si="554"/>
        <v>104</v>
      </c>
      <c r="C2322" s="7" t="s">
        <v>1848</v>
      </c>
      <c r="D2322" s="7" t="s">
        <v>1849</v>
      </c>
      <c r="E2322" s="7" t="str">
        <f>"陈国诗"</f>
        <v>陈国诗</v>
      </c>
      <c r="F2322" s="7" t="str">
        <f t="shared" si="559"/>
        <v>男</v>
      </c>
      <c r="G2322" s="7" t="s">
        <v>1964</v>
      </c>
      <c r="H2322" s="8"/>
    </row>
    <row r="2323" ht="25" customHeight="1" spans="1:8">
      <c r="A2323" s="6">
        <v>2321</v>
      </c>
      <c r="B2323" s="7" t="str">
        <f t="shared" si="554"/>
        <v>104</v>
      </c>
      <c r="C2323" s="7" t="s">
        <v>1848</v>
      </c>
      <c r="D2323" s="7" t="s">
        <v>1849</v>
      </c>
      <c r="E2323" s="7" t="str">
        <f>"谢晨"</f>
        <v>谢晨</v>
      </c>
      <c r="F2323" s="7" t="str">
        <f t="shared" ref="F2323:F2331" si="560">"女"</f>
        <v>女</v>
      </c>
      <c r="G2323" s="7" t="s">
        <v>1965</v>
      </c>
      <c r="H2323" s="8"/>
    </row>
    <row r="2324" ht="25" customHeight="1" spans="1:8">
      <c r="A2324" s="6">
        <v>2322</v>
      </c>
      <c r="B2324" s="7" t="str">
        <f t="shared" si="554"/>
        <v>104</v>
      </c>
      <c r="C2324" s="7" t="s">
        <v>1848</v>
      </c>
      <c r="D2324" s="7" t="s">
        <v>1849</v>
      </c>
      <c r="E2324" s="7" t="str">
        <f>"龚娅萍"</f>
        <v>龚娅萍</v>
      </c>
      <c r="F2324" s="7" t="str">
        <f t="shared" si="560"/>
        <v>女</v>
      </c>
      <c r="G2324" s="7" t="s">
        <v>1966</v>
      </c>
      <c r="H2324" s="8"/>
    </row>
    <row r="2325" ht="25" customHeight="1" spans="1:8">
      <c r="A2325" s="6">
        <v>2323</v>
      </c>
      <c r="B2325" s="7" t="str">
        <f t="shared" si="554"/>
        <v>104</v>
      </c>
      <c r="C2325" s="7" t="s">
        <v>1848</v>
      </c>
      <c r="D2325" s="7" t="s">
        <v>1849</v>
      </c>
      <c r="E2325" s="7" t="str">
        <f>"田鑫"</f>
        <v>田鑫</v>
      </c>
      <c r="F2325" s="7" t="str">
        <f t="shared" si="559"/>
        <v>男</v>
      </c>
      <c r="G2325" s="7" t="s">
        <v>1967</v>
      </c>
      <c r="H2325" s="8"/>
    </row>
    <row r="2326" ht="25" customHeight="1" spans="1:8">
      <c r="A2326" s="6">
        <v>2324</v>
      </c>
      <c r="B2326" s="7" t="str">
        <f t="shared" si="554"/>
        <v>104</v>
      </c>
      <c r="C2326" s="7" t="s">
        <v>1848</v>
      </c>
      <c r="D2326" s="7" t="s">
        <v>1849</v>
      </c>
      <c r="E2326" s="7" t="str">
        <f>"翟慧君"</f>
        <v>翟慧君</v>
      </c>
      <c r="F2326" s="7" t="str">
        <f t="shared" si="559"/>
        <v>男</v>
      </c>
      <c r="G2326" s="7" t="s">
        <v>1968</v>
      </c>
      <c r="H2326" s="8"/>
    </row>
    <row r="2327" ht="25" customHeight="1" spans="1:8">
      <c r="A2327" s="6">
        <v>2325</v>
      </c>
      <c r="B2327" s="7" t="str">
        <f t="shared" si="554"/>
        <v>104</v>
      </c>
      <c r="C2327" s="7" t="s">
        <v>1848</v>
      </c>
      <c r="D2327" s="7" t="s">
        <v>1849</v>
      </c>
      <c r="E2327" s="7" t="str">
        <f>"马丹丹"</f>
        <v>马丹丹</v>
      </c>
      <c r="F2327" s="7" t="str">
        <f t="shared" si="560"/>
        <v>女</v>
      </c>
      <c r="G2327" s="7" t="s">
        <v>1969</v>
      </c>
      <c r="H2327" s="8"/>
    </row>
    <row r="2328" ht="25" customHeight="1" spans="1:8">
      <c r="A2328" s="6">
        <v>2326</v>
      </c>
      <c r="B2328" s="7" t="str">
        <f t="shared" si="554"/>
        <v>104</v>
      </c>
      <c r="C2328" s="7" t="s">
        <v>1848</v>
      </c>
      <c r="D2328" s="7" t="s">
        <v>1849</v>
      </c>
      <c r="E2328" s="7" t="str">
        <f>"裴文倩"</f>
        <v>裴文倩</v>
      </c>
      <c r="F2328" s="7" t="str">
        <f t="shared" si="560"/>
        <v>女</v>
      </c>
      <c r="G2328" s="7" t="s">
        <v>1970</v>
      </c>
      <c r="H2328" s="8"/>
    </row>
    <row r="2329" ht="25" customHeight="1" spans="1:8">
      <c r="A2329" s="6">
        <v>2327</v>
      </c>
      <c r="B2329" s="7" t="str">
        <f t="shared" si="554"/>
        <v>104</v>
      </c>
      <c r="C2329" s="7" t="s">
        <v>1848</v>
      </c>
      <c r="D2329" s="7" t="s">
        <v>1849</v>
      </c>
      <c r="E2329" s="7" t="str">
        <f>"吕文婧"</f>
        <v>吕文婧</v>
      </c>
      <c r="F2329" s="7" t="str">
        <f t="shared" si="560"/>
        <v>女</v>
      </c>
      <c r="G2329" s="7" t="s">
        <v>1971</v>
      </c>
      <c r="H2329" s="8"/>
    </row>
    <row r="2330" ht="25" customHeight="1" spans="1:8">
      <c r="A2330" s="6">
        <v>2328</v>
      </c>
      <c r="B2330" s="7" t="str">
        <f t="shared" si="554"/>
        <v>104</v>
      </c>
      <c r="C2330" s="7" t="s">
        <v>1848</v>
      </c>
      <c r="D2330" s="7" t="s">
        <v>1849</v>
      </c>
      <c r="E2330" s="7" t="str">
        <f>"柯欣玥"</f>
        <v>柯欣玥</v>
      </c>
      <c r="F2330" s="7" t="str">
        <f t="shared" si="560"/>
        <v>女</v>
      </c>
      <c r="G2330" s="7" t="s">
        <v>1972</v>
      </c>
      <c r="H2330" s="8"/>
    </row>
    <row r="2331" ht="25" customHeight="1" spans="1:8">
      <c r="A2331" s="6">
        <v>2329</v>
      </c>
      <c r="B2331" s="7" t="str">
        <f t="shared" si="554"/>
        <v>104</v>
      </c>
      <c r="C2331" s="7" t="s">
        <v>1848</v>
      </c>
      <c r="D2331" s="7" t="s">
        <v>1849</v>
      </c>
      <c r="E2331" s="7" t="str">
        <f>"潘铭妃"</f>
        <v>潘铭妃</v>
      </c>
      <c r="F2331" s="7" t="str">
        <f t="shared" si="560"/>
        <v>女</v>
      </c>
      <c r="G2331" s="7" t="s">
        <v>1973</v>
      </c>
      <c r="H2331" s="8"/>
    </row>
    <row r="2332" ht="25" customHeight="1" spans="1:8">
      <c r="A2332" s="6">
        <v>2330</v>
      </c>
      <c r="B2332" s="7" t="str">
        <f t="shared" si="554"/>
        <v>104</v>
      </c>
      <c r="C2332" s="7" t="s">
        <v>1848</v>
      </c>
      <c r="D2332" s="7" t="s">
        <v>1849</v>
      </c>
      <c r="E2332" s="7" t="str">
        <f>"刘阳莅"</f>
        <v>刘阳莅</v>
      </c>
      <c r="F2332" s="7" t="str">
        <f t="shared" ref="F2332:F2335" si="561">"男"</f>
        <v>男</v>
      </c>
      <c r="G2332" s="7" t="s">
        <v>1974</v>
      </c>
      <c r="H2332" s="8"/>
    </row>
    <row r="2333" ht="25" customHeight="1" spans="1:8">
      <c r="A2333" s="6">
        <v>2331</v>
      </c>
      <c r="B2333" s="7" t="str">
        <f t="shared" si="554"/>
        <v>104</v>
      </c>
      <c r="C2333" s="7" t="s">
        <v>1848</v>
      </c>
      <c r="D2333" s="7" t="s">
        <v>1849</v>
      </c>
      <c r="E2333" s="7" t="str">
        <f>"喻慧"</f>
        <v>喻慧</v>
      </c>
      <c r="F2333" s="7" t="str">
        <f t="shared" si="561"/>
        <v>男</v>
      </c>
      <c r="G2333" s="7" t="s">
        <v>1975</v>
      </c>
      <c r="H2333" s="8"/>
    </row>
    <row r="2334" ht="25" customHeight="1" spans="1:8">
      <c r="A2334" s="6">
        <v>2332</v>
      </c>
      <c r="B2334" s="7" t="str">
        <f t="shared" si="554"/>
        <v>104</v>
      </c>
      <c r="C2334" s="7" t="s">
        <v>1848</v>
      </c>
      <c r="D2334" s="7" t="s">
        <v>1849</v>
      </c>
      <c r="E2334" s="7" t="str">
        <f>"陈春红"</f>
        <v>陈春红</v>
      </c>
      <c r="F2334" s="7" t="str">
        <f>"女"</f>
        <v>女</v>
      </c>
      <c r="G2334" s="7" t="s">
        <v>1976</v>
      </c>
      <c r="H2334" s="8"/>
    </row>
    <row r="2335" ht="25" customHeight="1" spans="1:8">
      <c r="A2335" s="6">
        <v>2333</v>
      </c>
      <c r="B2335" s="7" t="str">
        <f t="shared" si="554"/>
        <v>104</v>
      </c>
      <c r="C2335" s="7" t="s">
        <v>1848</v>
      </c>
      <c r="D2335" s="7" t="s">
        <v>1849</v>
      </c>
      <c r="E2335" s="7" t="str">
        <f>"李佳航"</f>
        <v>李佳航</v>
      </c>
      <c r="F2335" s="7" t="str">
        <f t="shared" si="561"/>
        <v>男</v>
      </c>
      <c r="G2335" s="7" t="s">
        <v>1977</v>
      </c>
      <c r="H2335" s="8"/>
    </row>
    <row r="2336" ht="25" customHeight="1" spans="1:8">
      <c r="A2336" s="6">
        <v>2334</v>
      </c>
      <c r="B2336" s="7" t="str">
        <f t="shared" si="554"/>
        <v>104</v>
      </c>
      <c r="C2336" s="7" t="s">
        <v>1848</v>
      </c>
      <c r="D2336" s="7" t="s">
        <v>1849</v>
      </c>
      <c r="E2336" s="7" t="str">
        <f>"王鹏鹏"</f>
        <v>王鹏鹏</v>
      </c>
      <c r="F2336" s="7" t="str">
        <f>"女"</f>
        <v>女</v>
      </c>
      <c r="G2336" s="7" t="s">
        <v>1978</v>
      </c>
      <c r="H2336" s="8"/>
    </row>
    <row r="2337" ht="25" customHeight="1" spans="1:8">
      <c r="A2337" s="6">
        <v>2335</v>
      </c>
      <c r="B2337" s="7" t="str">
        <f t="shared" si="554"/>
        <v>104</v>
      </c>
      <c r="C2337" s="7" t="s">
        <v>1848</v>
      </c>
      <c r="D2337" s="7" t="s">
        <v>1849</v>
      </c>
      <c r="E2337" s="7" t="str">
        <f>"吴清翔"</f>
        <v>吴清翔</v>
      </c>
      <c r="F2337" s="7" t="str">
        <f t="shared" ref="F2337:F2339" si="562">"男"</f>
        <v>男</v>
      </c>
      <c r="G2337" s="7" t="s">
        <v>1964</v>
      </c>
      <c r="H2337" s="8"/>
    </row>
    <row r="2338" ht="25" customHeight="1" spans="1:8">
      <c r="A2338" s="6">
        <v>2336</v>
      </c>
      <c r="B2338" s="7" t="str">
        <f t="shared" si="554"/>
        <v>104</v>
      </c>
      <c r="C2338" s="7" t="s">
        <v>1848</v>
      </c>
      <c r="D2338" s="7" t="s">
        <v>1849</v>
      </c>
      <c r="E2338" s="7" t="str">
        <f>"杨岗"</f>
        <v>杨岗</v>
      </c>
      <c r="F2338" s="7" t="str">
        <f t="shared" si="562"/>
        <v>男</v>
      </c>
      <c r="G2338" s="7" t="s">
        <v>1979</v>
      </c>
      <c r="H2338" s="8"/>
    </row>
    <row r="2339" ht="25" customHeight="1" spans="1:8">
      <c r="A2339" s="6">
        <v>2337</v>
      </c>
      <c r="B2339" s="7" t="str">
        <f t="shared" si="554"/>
        <v>104</v>
      </c>
      <c r="C2339" s="7" t="s">
        <v>1848</v>
      </c>
      <c r="D2339" s="7" t="s">
        <v>1849</v>
      </c>
      <c r="E2339" s="7" t="str">
        <f>"王贺"</f>
        <v>王贺</v>
      </c>
      <c r="F2339" s="7" t="str">
        <f t="shared" si="562"/>
        <v>男</v>
      </c>
      <c r="G2339" s="7" t="s">
        <v>1980</v>
      </c>
      <c r="H2339" s="8"/>
    </row>
    <row r="2340" ht="25" customHeight="1" spans="1:8">
      <c r="A2340" s="6">
        <v>2338</v>
      </c>
      <c r="B2340" s="7" t="str">
        <f t="shared" si="554"/>
        <v>104</v>
      </c>
      <c r="C2340" s="7" t="s">
        <v>1848</v>
      </c>
      <c r="D2340" s="7" t="s">
        <v>1849</v>
      </c>
      <c r="E2340" s="7" t="str">
        <f>"赵婧"</f>
        <v>赵婧</v>
      </c>
      <c r="F2340" s="7" t="str">
        <f t="shared" ref="F2340:F2346" si="563">"女"</f>
        <v>女</v>
      </c>
      <c r="G2340" s="7" t="s">
        <v>1981</v>
      </c>
      <c r="H2340" s="8"/>
    </row>
    <row r="2341" ht="25" customHeight="1" spans="1:8">
      <c r="A2341" s="6">
        <v>2339</v>
      </c>
      <c r="B2341" s="7" t="str">
        <f t="shared" si="554"/>
        <v>104</v>
      </c>
      <c r="C2341" s="7" t="s">
        <v>1848</v>
      </c>
      <c r="D2341" s="7" t="s">
        <v>1849</v>
      </c>
      <c r="E2341" s="7" t="str">
        <f>"陈献轩"</f>
        <v>陈献轩</v>
      </c>
      <c r="F2341" s="7" t="str">
        <f t="shared" ref="F2341:F2344" si="564">"男"</f>
        <v>男</v>
      </c>
      <c r="G2341" s="7" t="s">
        <v>1982</v>
      </c>
      <c r="H2341" s="8"/>
    </row>
    <row r="2342" ht="25" customHeight="1" spans="1:8">
      <c r="A2342" s="6">
        <v>2340</v>
      </c>
      <c r="B2342" s="7" t="str">
        <f t="shared" si="554"/>
        <v>104</v>
      </c>
      <c r="C2342" s="7" t="s">
        <v>1848</v>
      </c>
      <c r="D2342" s="7" t="s">
        <v>1849</v>
      </c>
      <c r="E2342" s="7" t="str">
        <f>"张边"</f>
        <v>张边</v>
      </c>
      <c r="F2342" s="7" t="str">
        <f t="shared" si="564"/>
        <v>男</v>
      </c>
      <c r="G2342" s="7" t="s">
        <v>1983</v>
      </c>
      <c r="H2342" s="8"/>
    </row>
    <row r="2343" ht="25" customHeight="1" spans="1:8">
      <c r="A2343" s="6">
        <v>2341</v>
      </c>
      <c r="B2343" s="7" t="str">
        <f t="shared" si="554"/>
        <v>104</v>
      </c>
      <c r="C2343" s="7" t="s">
        <v>1848</v>
      </c>
      <c r="D2343" s="7" t="s">
        <v>1849</v>
      </c>
      <c r="E2343" s="7" t="str">
        <f>"林琳琅"</f>
        <v>林琳琅</v>
      </c>
      <c r="F2343" s="7" t="str">
        <f t="shared" si="563"/>
        <v>女</v>
      </c>
      <c r="G2343" s="7" t="s">
        <v>699</v>
      </c>
      <c r="H2343" s="8"/>
    </row>
    <row r="2344" ht="25" customHeight="1" spans="1:8">
      <c r="A2344" s="6">
        <v>2342</v>
      </c>
      <c r="B2344" s="7" t="str">
        <f t="shared" si="554"/>
        <v>104</v>
      </c>
      <c r="C2344" s="7" t="s">
        <v>1848</v>
      </c>
      <c r="D2344" s="7" t="s">
        <v>1849</v>
      </c>
      <c r="E2344" s="7" t="str">
        <f>"孙智伟"</f>
        <v>孙智伟</v>
      </c>
      <c r="F2344" s="7" t="str">
        <f t="shared" si="564"/>
        <v>男</v>
      </c>
      <c r="G2344" s="7" t="s">
        <v>1984</v>
      </c>
      <c r="H2344" s="8"/>
    </row>
    <row r="2345" ht="25" customHeight="1" spans="1:8">
      <c r="A2345" s="6">
        <v>2343</v>
      </c>
      <c r="B2345" s="7" t="str">
        <f t="shared" si="554"/>
        <v>104</v>
      </c>
      <c r="C2345" s="7" t="s">
        <v>1848</v>
      </c>
      <c r="D2345" s="7" t="s">
        <v>1849</v>
      </c>
      <c r="E2345" s="7" t="str">
        <f>"陈泌汀"</f>
        <v>陈泌汀</v>
      </c>
      <c r="F2345" s="7" t="str">
        <f t="shared" si="563"/>
        <v>女</v>
      </c>
      <c r="G2345" s="7" t="s">
        <v>1985</v>
      </c>
      <c r="H2345" s="8"/>
    </row>
    <row r="2346" ht="25" customHeight="1" spans="1:8">
      <c r="A2346" s="6">
        <v>2344</v>
      </c>
      <c r="B2346" s="7" t="str">
        <f t="shared" si="554"/>
        <v>104</v>
      </c>
      <c r="C2346" s="7" t="s">
        <v>1848</v>
      </c>
      <c r="D2346" s="7" t="s">
        <v>1849</v>
      </c>
      <c r="E2346" s="7" t="str">
        <f>"许菊花"</f>
        <v>许菊花</v>
      </c>
      <c r="F2346" s="7" t="str">
        <f t="shared" si="563"/>
        <v>女</v>
      </c>
      <c r="G2346" s="7" t="s">
        <v>1986</v>
      </c>
      <c r="H2346" s="8"/>
    </row>
    <row r="2347" ht="25" customHeight="1" spans="1:8">
      <c r="A2347" s="6">
        <v>2345</v>
      </c>
      <c r="B2347" s="7" t="str">
        <f t="shared" si="554"/>
        <v>104</v>
      </c>
      <c r="C2347" s="7" t="s">
        <v>1848</v>
      </c>
      <c r="D2347" s="7" t="s">
        <v>1849</v>
      </c>
      <c r="E2347" s="7" t="str">
        <f>"吴树龙"</f>
        <v>吴树龙</v>
      </c>
      <c r="F2347" s="7" t="str">
        <f t="shared" ref="F2347:F2352" si="565">"男"</f>
        <v>男</v>
      </c>
      <c r="G2347" s="7" t="s">
        <v>1987</v>
      </c>
      <c r="H2347" s="8"/>
    </row>
    <row r="2348" ht="25" customHeight="1" spans="1:8">
      <c r="A2348" s="6">
        <v>2346</v>
      </c>
      <c r="B2348" s="7" t="str">
        <f t="shared" si="554"/>
        <v>104</v>
      </c>
      <c r="C2348" s="7" t="s">
        <v>1848</v>
      </c>
      <c r="D2348" s="7" t="s">
        <v>1849</v>
      </c>
      <c r="E2348" s="7" t="str">
        <f>"邹荟雯"</f>
        <v>邹荟雯</v>
      </c>
      <c r="F2348" s="7" t="str">
        <f t="shared" ref="F2348:F2354" si="566">"女"</f>
        <v>女</v>
      </c>
      <c r="G2348" s="7" t="s">
        <v>1988</v>
      </c>
      <c r="H2348" s="8"/>
    </row>
    <row r="2349" ht="25" customHeight="1" spans="1:8">
      <c r="A2349" s="6">
        <v>2347</v>
      </c>
      <c r="B2349" s="7" t="str">
        <f t="shared" si="554"/>
        <v>104</v>
      </c>
      <c r="C2349" s="7" t="s">
        <v>1848</v>
      </c>
      <c r="D2349" s="7" t="s">
        <v>1849</v>
      </c>
      <c r="E2349" s="7" t="str">
        <f>"陈百惠"</f>
        <v>陈百惠</v>
      </c>
      <c r="F2349" s="7" t="str">
        <f t="shared" si="566"/>
        <v>女</v>
      </c>
      <c r="G2349" s="7" t="s">
        <v>1941</v>
      </c>
      <c r="H2349" s="8"/>
    </row>
    <row r="2350" ht="25" customHeight="1" spans="1:8">
      <c r="A2350" s="6">
        <v>2348</v>
      </c>
      <c r="B2350" s="7" t="str">
        <f t="shared" si="554"/>
        <v>104</v>
      </c>
      <c r="C2350" s="7" t="s">
        <v>1848</v>
      </c>
      <c r="D2350" s="7" t="s">
        <v>1849</v>
      </c>
      <c r="E2350" s="7" t="str">
        <f>"赵振儒"</f>
        <v>赵振儒</v>
      </c>
      <c r="F2350" s="7" t="str">
        <f t="shared" si="565"/>
        <v>男</v>
      </c>
      <c r="G2350" s="7" t="s">
        <v>1989</v>
      </c>
      <c r="H2350" s="8"/>
    </row>
    <row r="2351" ht="25" customHeight="1" spans="1:8">
      <c r="A2351" s="6">
        <v>2349</v>
      </c>
      <c r="B2351" s="7" t="str">
        <f t="shared" si="554"/>
        <v>104</v>
      </c>
      <c r="C2351" s="7" t="s">
        <v>1848</v>
      </c>
      <c r="D2351" s="7" t="s">
        <v>1849</v>
      </c>
      <c r="E2351" s="7" t="str">
        <f>"赵全"</f>
        <v>赵全</v>
      </c>
      <c r="F2351" s="7" t="str">
        <f t="shared" si="565"/>
        <v>男</v>
      </c>
      <c r="G2351" s="7" t="s">
        <v>1990</v>
      </c>
      <c r="H2351" s="8"/>
    </row>
    <row r="2352" ht="25" customHeight="1" spans="1:8">
      <c r="A2352" s="6">
        <v>2350</v>
      </c>
      <c r="B2352" s="7" t="str">
        <f t="shared" si="554"/>
        <v>104</v>
      </c>
      <c r="C2352" s="7" t="s">
        <v>1848</v>
      </c>
      <c r="D2352" s="7" t="s">
        <v>1849</v>
      </c>
      <c r="E2352" s="7" t="str">
        <f>"林虹旭"</f>
        <v>林虹旭</v>
      </c>
      <c r="F2352" s="7" t="str">
        <f t="shared" si="565"/>
        <v>男</v>
      </c>
      <c r="G2352" s="7" t="s">
        <v>598</v>
      </c>
      <c r="H2352" s="8"/>
    </row>
    <row r="2353" ht="25" customHeight="1" spans="1:8">
      <c r="A2353" s="6">
        <v>2351</v>
      </c>
      <c r="B2353" s="7" t="str">
        <f t="shared" si="554"/>
        <v>104</v>
      </c>
      <c r="C2353" s="7" t="s">
        <v>1848</v>
      </c>
      <c r="D2353" s="7" t="s">
        <v>1849</v>
      </c>
      <c r="E2353" s="7" t="str">
        <f>"梁渊"</f>
        <v>梁渊</v>
      </c>
      <c r="F2353" s="7" t="str">
        <f t="shared" si="566"/>
        <v>女</v>
      </c>
      <c r="G2353" s="7" t="s">
        <v>1291</v>
      </c>
      <c r="H2353" s="8"/>
    </row>
    <row r="2354" ht="25" customHeight="1" spans="1:8">
      <c r="A2354" s="6">
        <v>2352</v>
      </c>
      <c r="B2354" s="7" t="str">
        <f t="shared" si="554"/>
        <v>104</v>
      </c>
      <c r="C2354" s="7" t="s">
        <v>1848</v>
      </c>
      <c r="D2354" s="7" t="s">
        <v>1849</v>
      </c>
      <c r="E2354" s="7" t="str">
        <f>"李卓航"</f>
        <v>李卓航</v>
      </c>
      <c r="F2354" s="7" t="str">
        <f t="shared" si="566"/>
        <v>女</v>
      </c>
      <c r="G2354" s="7" t="s">
        <v>1991</v>
      </c>
      <c r="H2354" s="8"/>
    </row>
    <row r="2355" ht="25" customHeight="1" spans="1:8">
      <c r="A2355" s="6">
        <v>2353</v>
      </c>
      <c r="B2355" s="7" t="str">
        <f t="shared" si="554"/>
        <v>104</v>
      </c>
      <c r="C2355" s="7" t="s">
        <v>1848</v>
      </c>
      <c r="D2355" s="7" t="s">
        <v>1849</v>
      </c>
      <c r="E2355" s="7" t="str">
        <f>"樊高凯"</f>
        <v>樊高凯</v>
      </c>
      <c r="F2355" s="7" t="str">
        <f t="shared" ref="F2355:F2360" si="567">"男"</f>
        <v>男</v>
      </c>
      <c r="G2355" s="7" t="s">
        <v>1992</v>
      </c>
      <c r="H2355" s="8"/>
    </row>
    <row r="2356" ht="25" customHeight="1" spans="1:8">
      <c r="A2356" s="6">
        <v>2354</v>
      </c>
      <c r="B2356" s="7" t="str">
        <f t="shared" si="554"/>
        <v>104</v>
      </c>
      <c r="C2356" s="7" t="s">
        <v>1848</v>
      </c>
      <c r="D2356" s="7" t="s">
        <v>1849</v>
      </c>
      <c r="E2356" s="7" t="str">
        <f>"赵健辰"</f>
        <v>赵健辰</v>
      </c>
      <c r="F2356" s="7" t="str">
        <f t="shared" ref="F2356:F2365" si="568">"女"</f>
        <v>女</v>
      </c>
      <c r="G2356" s="7" t="s">
        <v>1993</v>
      </c>
      <c r="H2356" s="8"/>
    </row>
    <row r="2357" ht="25" customHeight="1" spans="1:8">
      <c r="A2357" s="6">
        <v>2355</v>
      </c>
      <c r="B2357" s="7" t="str">
        <f t="shared" si="554"/>
        <v>104</v>
      </c>
      <c r="C2357" s="7" t="s">
        <v>1848</v>
      </c>
      <c r="D2357" s="7" t="s">
        <v>1849</v>
      </c>
      <c r="E2357" s="7" t="str">
        <f>"李奇"</f>
        <v>李奇</v>
      </c>
      <c r="F2357" s="7" t="str">
        <f t="shared" si="567"/>
        <v>男</v>
      </c>
      <c r="G2357" s="7" t="s">
        <v>1994</v>
      </c>
      <c r="H2357" s="8"/>
    </row>
    <row r="2358" ht="25" customHeight="1" spans="1:8">
      <c r="A2358" s="6">
        <v>2356</v>
      </c>
      <c r="B2358" s="7" t="str">
        <f t="shared" si="554"/>
        <v>104</v>
      </c>
      <c r="C2358" s="7" t="s">
        <v>1848</v>
      </c>
      <c r="D2358" s="7" t="s">
        <v>1849</v>
      </c>
      <c r="E2358" s="7" t="str">
        <f>"文婷婷"</f>
        <v>文婷婷</v>
      </c>
      <c r="F2358" s="7" t="str">
        <f t="shared" si="568"/>
        <v>女</v>
      </c>
      <c r="G2358" s="7" t="s">
        <v>1995</v>
      </c>
      <c r="H2358" s="8"/>
    </row>
    <row r="2359" ht="25" customHeight="1" spans="1:8">
      <c r="A2359" s="6">
        <v>2357</v>
      </c>
      <c r="B2359" s="7" t="str">
        <f t="shared" si="554"/>
        <v>104</v>
      </c>
      <c r="C2359" s="7" t="s">
        <v>1848</v>
      </c>
      <c r="D2359" s="7" t="s">
        <v>1849</v>
      </c>
      <c r="E2359" s="7" t="str">
        <f>"周雄裕"</f>
        <v>周雄裕</v>
      </c>
      <c r="F2359" s="7" t="str">
        <f t="shared" si="567"/>
        <v>男</v>
      </c>
      <c r="G2359" s="7" t="s">
        <v>745</v>
      </c>
      <c r="H2359" s="8"/>
    </row>
    <row r="2360" ht="25" customHeight="1" spans="1:8">
      <c r="A2360" s="6">
        <v>2358</v>
      </c>
      <c r="B2360" s="7" t="str">
        <f t="shared" si="554"/>
        <v>104</v>
      </c>
      <c r="C2360" s="7" t="s">
        <v>1848</v>
      </c>
      <c r="D2360" s="7" t="s">
        <v>1849</v>
      </c>
      <c r="E2360" s="7" t="str">
        <f>"梁范"</f>
        <v>梁范</v>
      </c>
      <c r="F2360" s="7" t="str">
        <f t="shared" si="567"/>
        <v>男</v>
      </c>
      <c r="G2360" s="7" t="s">
        <v>71</v>
      </c>
      <c r="H2360" s="8"/>
    </row>
    <row r="2361" ht="25" customHeight="1" spans="1:8">
      <c r="A2361" s="6">
        <v>2359</v>
      </c>
      <c r="B2361" s="7" t="str">
        <f t="shared" si="554"/>
        <v>104</v>
      </c>
      <c r="C2361" s="7" t="s">
        <v>1848</v>
      </c>
      <c r="D2361" s="7" t="s">
        <v>1849</v>
      </c>
      <c r="E2361" s="7" t="str">
        <f>"翟莲瑞"</f>
        <v>翟莲瑞</v>
      </c>
      <c r="F2361" s="7" t="str">
        <f t="shared" si="568"/>
        <v>女</v>
      </c>
      <c r="G2361" s="7" t="s">
        <v>1996</v>
      </c>
      <c r="H2361" s="8"/>
    </row>
    <row r="2362" ht="25" customHeight="1" spans="1:8">
      <c r="A2362" s="6">
        <v>2360</v>
      </c>
      <c r="B2362" s="7" t="str">
        <f t="shared" si="554"/>
        <v>104</v>
      </c>
      <c r="C2362" s="7" t="s">
        <v>1848</v>
      </c>
      <c r="D2362" s="7" t="s">
        <v>1849</v>
      </c>
      <c r="E2362" s="7" t="str">
        <f>"谭沛"</f>
        <v>谭沛</v>
      </c>
      <c r="F2362" s="7" t="str">
        <f t="shared" si="568"/>
        <v>女</v>
      </c>
      <c r="G2362" s="7" t="s">
        <v>1997</v>
      </c>
      <c r="H2362" s="8"/>
    </row>
    <row r="2363" ht="25" customHeight="1" spans="1:8">
      <c r="A2363" s="6">
        <v>2361</v>
      </c>
      <c r="B2363" s="7" t="str">
        <f t="shared" si="554"/>
        <v>104</v>
      </c>
      <c r="C2363" s="7" t="s">
        <v>1848</v>
      </c>
      <c r="D2363" s="7" t="s">
        <v>1849</v>
      </c>
      <c r="E2363" s="7" t="str">
        <f>"罗加靓"</f>
        <v>罗加靓</v>
      </c>
      <c r="F2363" s="7" t="str">
        <f t="shared" si="568"/>
        <v>女</v>
      </c>
      <c r="G2363" s="7" t="s">
        <v>1998</v>
      </c>
      <c r="H2363" s="8"/>
    </row>
    <row r="2364" ht="25" customHeight="1" spans="1:8">
      <c r="A2364" s="6">
        <v>2362</v>
      </c>
      <c r="B2364" s="7" t="str">
        <f t="shared" si="554"/>
        <v>104</v>
      </c>
      <c r="C2364" s="7" t="s">
        <v>1848</v>
      </c>
      <c r="D2364" s="7" t="s">
        <v>1849</v>
      </c>
      <c r="E2364" s="7" t="str">
        <f>"韩奕欣"</f>
        <v>韩奕欣</v>
      </c>
      <c r="F2364" s="7" t="str">
        <f t="shared" si="568"/>
        <v>女</v>
      </c>
      <c r="G2364" s="7" t="s">
        <v>1339</v>
      </c>
      <c r="H2364" s="8"/>
    </row>
    <row r="2365" ht="25" customHeight="1" spans="1:8">
      <c r="A2365" s="6">
        <v>2363</v>
      </c>
      <c r="B2365" s="7" t="str">
        <f t="shared" si="554"/>
        <v>104</v>
      </c>
      <c r="C2365" s="7" t="s">
        <v>1848</v>
      </c>
      <c r="D2365" s="7" t="s">
        <v>1849</v>
      </c>
      <c r="E2365" s="7" t="str">
        <f>"张琦"</f>
        <v>张琦</v>
      </c>
      <c r="F2365" s="7" t="str">
        <f t="shared" si="568"/>
        <v>女</v>
      </c>
      <c r="G2365" s="7" t="s">
        <v>1999</v>
      </c>
      <c r="H2365" s="8"/>
    </row>
    <row r="2366" ht="25" customHeight="1" spans="1:8">
      <c r="A2366" s="6">
        <v>2364</v>
      </c>
      <c r="B2366" s="7" t="str">
        <f t="shared" si="554"/>
        <v>104</v>
      </c>
      <c r="C2366" s="7" t="s">
        <v>1848</v>
      </c>
      <c r="D2366" s="7" t="s">
        <v>1849</v>
      </c>
      <c r="E2366" s="7" t="str">
        <f>"徐志博"</f>
        <v>徐志博</v>
      </c>
      <c r="F2366" s="7" t="str">
        <f t="shared" ref="F2366:F2369" si="569">"男"</f>
        <v>男</v>
      </c>
      <c r="G2366" s="7" t="s">
        <v>2000</v>
      </c>
      <c r="H2366" s="8"/>
    </row>
    <row r="2367" ht="25" customHeight="1" spans="1:8">
      <c r="A2367" s="6">
        <v>2365</v>
      </c>
      <c r="B2367" s="7" t="str">
        <f t="shared" ref="B2367:B2371" si="570">"104"</f>
        <v>104</v>
      </c>
      <c r="C2367" s="7" t="s">
        <v>1848</v>
      </c>
      <c r="D2367" s="7" t="s">
        <v>1849</v>
      </c>
      <c r="E2367" s="7" t="str">
        <f>"姚逢栋"</f>
        <v>姚逢栋</v>
      </c>
      <c r="F2367" s="7" t="str">
        <f t="shared" si="569"/>
        <v>男</v>
      </c>
      <c r="G2367" s="7" t="s">
        <v>2001</v>
      </c>
      <c r="H2367" s="8"/>
    </row>
    <row r="2368" ht="25" customHeight="1" spans="1:8">
      <c r="A2368" s="6">
        <v>2366</v>
      </c>
      <c r="B2368" s="7" t="str">
        <f t="shared" si="570"/>
        <v>104</v>
      </c>
      <c r="C2368" s="7" t="s">
        <v>1848</v>
      </c>
      <c r="D2368" s="7" t="s">
        <v>1849</v>
      </c>
      <c r="E2368" s="7" t="str">
        <f>"欧阳爱"</f>
        <v>欧阳爱</v>
      </c>
      <c r="F2368" s="7" t="str">
        <f t="shared" ref="F2368:F2374" si="571">"女"</f>
        <v>女</v>
      </c>
      <c r="G2368" s="7" t="s">
        <v>326</v>
      </c>
      <c r="H2368" s="8"/>
    </row>
    <row r="2369" ht="25" customHeight="1" spans="1:8">
      <c r="A2369" s="6">
        <v>2367</v>
      </c>
      <c r="B2369" s="7" t="str">
        <f t="shared" si="570"/>
        <v>104</v>
      </c>
      <c r="C2369" s="7" t="s">
        <v>1848</v>
      </c>
      <c r="D2369" s="7" t="s">
        <v>1849</v>
      </c>
      <c r="E2369" s="7" t="str">
        <f>"许立千"</f>
        <v>许立千</v>
      </c>
      <c r="F2369" s="7" t="str">
        <f t="shared" si="569"/>
        <v>男</v>
      </c>
      <c r="G2369" s="7" t="s">
        <v>1078</v>
      </c>
      <c r="H2369" s="8"/>
    </row>
    <row r="2370" ht="25" customHeight="1" spans="1:8">
      <c r="A2370" s="6">
        <v>2368</v>
      </c>
      <c r="B2370" s="7" t="str">
        <f t="shared" si="570"/>
        <v>104</v>
      </c>
      <c r="C2370" s="7" t="s">
        <v>1848</v>
      </c>
      <c r="D2370" s="7" t="s">
        <v>1849</v>
      </c>
      <c r="E2370" s="7" t="str">
        <f>"吴洳滢"</f>
        <v>吴洳滢</v>
      </c>
      <c r="F2370" s="7" t="str">
        <f t="shared" si="571"/>
        <v>女</v>
      </c>
      <c r="G2370" s="7" t="s">
        <v>30</v>
      </c>
      <c r="H2370" s="8"/>
    </row>
    <row r="2371" ht="25" customHeight="1" spans="1:8">
      <c r="A2371" s="6">
        <v>2369</v>
      </c>
      <c r="B2371" s="7" t="str">
        <f t="shared" si="570"/>
        <v>104</v>
      </c>
      <c r="C2371" s="7" t="s">
        <v>1848</v>
      </c>
      <c r="D2371" s="7" t="s">
        <v>1849</v>
      </c>
      <c r="E2371" s="7" t="str">
        <f>"林娇丽"</f>
        <v>林娇丽</v>
      </c>
      <c r="F2371" s="7" t="str">
        <f t="shared" si="571"/>
        <v>女</v>
      </c>
      <c r="G2371" s="7" t="s">
        <v>1180</v>
      </c>
      <c r="H2371" s="8"/>
    </row>
    <row r="2372" ht="25" customHeight="1" spans="1:8">
      <c r="A2372" s="6">
        <v>2370</v>
      </c>
      <c r="B2372" s="7" t="str">
        <f t="shared" ref="B2372:B2435" si="572">"105"</f>
        <v>105</v>
      </c>
      <c r="C2372" s="7" t="s">
        <v>2002</v>
      </c>
      <c r="D2372" s="7" t="s">
        <v>2003</v>
      </c>
      <c r="E2372" s="7" t="str">
        <f>"刘淇"</f>
        <v>刘淇</v>
      </c>
      <c r="F2372" s="7" t="str">
        <f t="shared" si="571"/>
        <v>女</v>
      </c>
      <c r="G2372" s="7" t="s">
        <v>2004</v>
      </c>
      <c r="H2372" s="8"/>
    </row>
    <row r="2373" ht="25" customHeight="1" spans="1:8">
      <c r="A2373" s="6">
        <v>2371</v>
      </c>
      <c r="B2373" s="7" t="str">
        <f t="shared" si="572"/>
        <v>105</v>
      </c>
      <c r="C2373" s="7" t="s">
        <v>2002</v>
      </c>
      <c r="D2373" s="7" t="s">
        <v>2003</v>
      </c>
      <c r="E2373" s="7" t="str">
        <f>"陈婉言"</f>
        <v>陈婉言</v>
      </c>
      <c r="F2373" s="7" t="str">
        <f t="shared" si="571"/>
        <v>女</v>
      </c>
      <c r="G2373" s="7" t="s">
        <v>2005</v>
      </c>
      <c r="H2373" s="8"/>
    </row>
    <row r="2374" ht="25" customHeight="1" spans="1:8">
      <c r="A2374" s="6">
        <v>2372</v>
      </c>
      <c r="B2374" s="7" t="str">
        <f t="shared" si="572"/>
        <v>105</v>
      </c>
      <c r="C2374" s="7" t="s">
        <v>2002</v>
      </c>
      <c r="D2374" s="7" t="s">
        <v>2003</v>
      </c>
      <c r="E2374" s="7" t="str">
        <f>"王昭"</f>
        <v>王昭</v>
      </c>
      <c r="F2374" s="7" t="str">
        <f t="shared" si="571"/>
        <v>女</v>
      </c>
      <c r="G2374" s="7" t="s">
        <v>2006</v>
      </c>
      <c r="H2374" s="8"/>
    </row>
    <row r="2375" ht="25" customHeight="1" spans="1:8">
      <c r="A2375" s="6">
        <v>2373</v>
      </c>
      <c r="B2375" s="7" t="str">
        <f t="shared" si="572"/>
        <v>105</v>
      </c>
      <c r="C2375" s="7" t="s">
        <v>2002</v>
      </c>
      <c r="D2375" s="7" t="s">
        <v>2003</v>
      </c>
      <c r="E2375" s="7" t="str">
        <f>"孙崧泰"</f>
        <v>孙崧泰</v>
      </c>
      <c r="F2375" s="7" t="str">
        <f t="shared" ref="F2375:F2381" si="573">"男"</f>
        <v>男</v>
      </c>
      <c r="G2375" s="7" t="s">
        <v>2007</v>
      </c>
      <c r="H2375" s="8"/>
    </row>
    <row r="2376" ht="25" customHeight="1" spans="1:8">
      <c r="A2376" s="6">
        <v>2374</v>
      </c>
      <c r="B2376" s="7" t="str">
        <f t="shared" si="572"/>
        <v>105</v>
      </c>
      <c r="C2376" s="7" t="s">
        <v>2002</v>
      </c>
      <c r="D2376" s="7" t="s">
        <v>2003</v>
      </c>
      <c r="E2376" s="7" t="str">
        <f>"吴丽莉"</f>
        <v>吴丽莉</v>
      </c>
      <c r="F2376" s="7" t="str">
        <f t="shared" ref="F2376:F2379" si="574">"女"</f>
        <v>女</v>
      </c>
      <c r="G2376" s="7" t="s">
        <v>2008</v>
      </c>
      <c r="H2376" s="8"/>
    </row>
    <row r="2377" ht="25" customHeight="1" spans="1:8">
      <c r="A2377" s="6">
        <v>2375</v>
      </c>
      <c r="B2377" s="7" t="str">
        <f t="shared" si="572"/>
        <v>105</v>
      </c>
      <c r="C2377" s="7" t="s">
        <v>2002</v>
      </c>
      <c r="D2377" s="7" t="s">
        <v>2003</v>
      </c>
      <c r="E2377" s="7" t="str">
        <f>"周晓娟"</f>
        <v>周晓娟</v>
      </c>
      <c r="F2377" s="7" t="str">
        <f t="shared" si="574"/>
        <v>女</v>
      </c>
      <c r="G2377" s="7" t="s">
        <v>1248</v>
      </c>
      <c r="H2377" s="8"/>
    </row>
    <row r="2378" ht="25" customHeight="1" spans="1:8">
      <c r="A2378" s="6">
        <v>2376</v>
      </c>
      <c r="B2378" s="7" t="str">
        <f t="shared" si="572"/>
        <v>105</v>
      </c>
      <c r="C2378" s="7" t="s">
        <v>2002</v>
      </c>
      <c r="D2378" s="7" t="s">
        <v>2003</v>
      </c>
      <c r="E2378" s="7" t="str">
        <f>"胡韶华"</f>
        <v>胡韶华</v>
      </c>
      <c r="F2378" s="7" t="str">
        <f t="shared" si="573"/>
        <v>男</v>
      </c>
      <c r="G2378" s="7" t="s">
        <v>2009</v>
      </c>
      <c r="H2378" s="8"/>
    </row>
    <row r="2379" ht="25" customHeight="1" spans="1:8">
      <c r="A2379" s="6">
        <v>2377</v>
      </c>
      <c r="B2379" s="7" t="str">
        <f t="shared" si="572"/>
        <v>105</v>
      </c>
      <c r="C2379" s="7" t="s">
        <v>2002</v>
      </c>
      <c r="D2379" s="7" t="s">
        <v>2003</v>
      </c>
      <c r="E2379" s="7" t="str">
        <f>"胡心心"</f>
        <v>胡心心</v>
      </c>
      <c r="F2379" s="7" t="str">
        <f t="shared" si="574"/>
        <v>女</v>
      </c>
      <c r="G2379" s="7" t="s">
        <v>498</v>
      </c>
      <c r="H2379" s="8"/>
    </row>
    <row r="2380" ht="25" customHeight="1" spans="1:8">
      <c r="A2380" s="6">
        <v>2378</v>
      </c>
      <c r="B2380" s="7" t="str">
        <f t="shared" si="572"/>
        <v>105</v>
      </c>
      <c r="C2380" s="7" t="s">
        <v>2002</v>
      </c>
      <c r="D2380" s="7" t="s">
        <v>2003</v>
      </c>
      <c r="E2380" s="7" t="str">
        <f>"罗茂"</f>
        <v>罗茂</v>
      </c>
      <c r="F2380" s="7" t="str">
        <f t="shared" si="573"/>
        <v>男</v>
      </c>
      <c r="G2380" s="7" t="s">
        <v>2010</v>
      </c>
      <c r="H2380" s="8"/>
    </row>
    <row r="2381" ht="25" customHeight="1" spans="1:8">
      <c r="A2381" s="6">
        <v>2379</v>
      </c>
      <c r="B2381" s="7" t="str">
        <f t="shared" si="572"/>
        <v>105</v>
      </c>
      <c r="C2381" s="7" t="s">
        <v>2002</v>
      </c>
      <c r="D2381" s="7" t="s">
        <v>2003</v>
      </c>
      <c r="E2381" s="7" t="str">
        <f>"陈运逢"</f>
        <v>陈运逢</v>
      </c>
      <c r="F2381" s="7" t="str">
        <f t="shared" si="573"/>
        <v>男</v>
      </c>
      <c r="G2381" s="7" t="s">
        <v>2011</v>
      </c>
      <c r="H2381" s="8"/>
    </row>
    <row r="2382" ht="25" customHeight="1" spans="1:8">
      <c r="A2382" s="6">
        <v>2380</v>
      </c>
      <c r="B2382" s="7" t="str">
        <f t="shared" si="572"/>
        <v>105</v>
      </c>
      <c r="C2382" s="7" t="s">
        <v>2002</v>
      </c>
      <c r="D2382" s="7" t="s">
        <v>2003</v>
      </c>
      <c r="E2382" s="7" t="str">
        <f>"王亚梅"</f>
        <v>王亚梅</v>
      </c>
      <c r="F2382" s="7" t="str">
        <f t="shared" ref="F2382:F2385" si="575">"女"</f>
        <v>女</v>
      </c>
      <c r="G2382" s="7" t="s">
        <v>2012</v>
      </c>
      <c r="H2382" s="8"/>
    </row>
    <row r="2383" ht="25" customHeight="1" spans="1:8">
      <c r="A2383" s="6">
        <v>2381</v>
      </c>
      <c r="B2383" s="7" t="str">
        <f t="shared" si="572"/>
        <v>105</v>
      </c>
      <c r="C2383" s="7" t="s">
        <v>2002</v>
      </c>
      <c r="D2383" s="7" t="s">
        <v>2003</v>
      </c>
      <c r="E2383" s="7" t="str">
        <f>"陈春瑾"</f>
        <v>陈春瑾</v>
      </c>
      <c r="F2383" s="7" t="str">
        <f t="shared" si="575"/>
        <v>女</v>
      </c>
      <c r="G2383" s="7" t="s">
        <v>1941</v>
      </c>
      <c r="H2383" s="8"/>
    </row>
    <row r="2384" ht="25" customHeight="1" spans="1:8">
      <c r="A2384" s="6">
        <v>2382</v>
      </c>
      <c r="B2384" s="7" t="str">
        <f t="shared" si="572"/>
        <v>105</v>
      </c>
      <c r="C2384" s="7" t="s">
        <v>2002</v>
      </c>
      <c r="D2384" s="7" t="s">
        <v>2003</v>
      </c>
      <c r="E2384" s="7" t="str">
        <f>"符定衡"</f>
        <v>符定衡</v>
      </c>
      <c r="F2384" s="7" t="str">
        <f>"男"</f>
        <v>男</v>
      </c>
      <c r="G2384" s="7" t="s">
        <v>2013</v>
      </c>
      <c r="H2384" s="8"/>
    </row>
    <row r="2385" ht="25" customHeight="1" spans="1:8">
      <c r="A2385" s="6">
        <v>2383</v>
      </c>
      <c r="B2385" s="7" t="str">
        <f t="shared" si="572"/>
        <v>105</v>
      </c>
      <c r="C2385" s="7" t="s">
        <v>2002</v>
      </c>
      <c r="D2385" s="7" t="s">
        <v>2003</v>
      </c>
      <c r="E2385" s="7" t="str">
        <f>"周晓璇"</f>
        <v>周晓璇</v>
      </c>
      <c r="F2385" s="7" t="str">
        <f t="shared" si="575"/>
        <v>女</v>
      </c>
      <c r="G2385" s="7" t="s">
        <v>2014</v>
      </c>
      <c r="H2385" s="8"/>
    </row>
    <row r="2386" ht="25" customHeight="1" spans="1:8">
      <c r="A2386" s="6">
        <v>2384</v>
      </c>
      <c r="B2386" s="7" t="str">
        <f t="shared" si="572"/>
        <v>105</v>
      </c>
      <c r="C2386" s="7" t="s">
        <v>2002</v>
      </c>
      <c r="D2386" s="7" t="s">
        <v>2003</v>
      </c>
      <c r="E2386" s="7" t="str">
        <f>"叶绵程"</f>
        <v>叶绵程</v>
      </c>
      <c r="F2386" s="7" t="str">
        <f t="shared" ref="F2386:F2391" si="576">"男"</f>
        <v>男</v>
      </c>
      <c r="G2386" s="7" t="s">
        <v>1654</v>
      </c>
      <c r="H2386" s="8"/>
    </row>
    <row r="2387" ht="25" customHeight="1" spans="1:8">
      <c r="A2387" s="6">
        <v>2385</v>
      </c>
      <c r="B2387" s="7" t="str">
        <f t="shared" si="572"/>
        <v>105</v>
      </c>
      <c r="C2387" s="7" t="s">
        <v>2002</v>
      </c>
      <c r="D2387" s="7" t="s">
        <v>2003</v>
      </c>
      <c r="E2387" s="7" t="str">
        <f>"陈妍"</f>
        <v>陈妍</v>
      </c>
      <c r="F2387" s="7" t="str">
        <f t="shared" ref="F2387:F2389" si="577">"女"</f>
        <v>女</v>
      </c>
      <c r="G2387" s="7" t="s">
        <v>2015</v>
      </c>
      <c r="H2387" s="8"/>
    </row>
    <row r="2388" ht="25" customHeight="1" spans="1:8">
      <c r="A2388" s="6">
        <v>2386</v>
      </c>
      <c r="B2388" s="7" t="str">
        <f t="shared" si="572"/>
        <v>105</v>
      </c>
      <c r="C2388" s="7" t="s">
        <v>2002</v>
      </c>
      <c r="D2388" s="7" t="s">
        <v>2003</v>
      </c>
      <c r="E2388" s="7" t="str">
        <f>"黄白冰"</f>
        <v>黄白冰</v>
      </c>
      <c r="F2388" s="7" t="str">
        <f t="shared" si="577"/>
        <v>女</v>
      </c>
      <c r="G2388" s="7" t="s">
        <v>2016</v>
      </c>
      <c r="H2388" s="8"/>
    </row>
    <row r="2389" ht="25" customHeight="1" spans="1:8">
      <c r="A2389" s="6">
        <v>2387</v>
      </c>
      <c r="B2389" s="7" t="str">
        <f t="shared" si="572"/>
        <v>105</v>
      </c>
      <c r="C2389" s="7" t="s">
        <v>2002</v>
      </c>
      <c r="D2389" s="7" t="s">
        <v>2003</v>
      </c>
      <c r="E2389" s="7" t="str">
        <f>"唐艳"</f>
        <v>唐艳</v>
      </c>
      <c r="F2389" s="7" t="str">
        <f t="shared" si="577"/>
        <v>女</v>
      </c>
      <c r="G2389" s="7" t="s">
        <v>2017</v>
      </c>
      <c r="H2389" s="8"/>
    </row>
    <row r="2390" ht="25" customHeight="1" spans="1:8">
      <c r="A2390" s="6">
        <v>2388</v>
      </c>
      <c r="B2390" s="7" t="str">
        <f t="shared" si="572"/>
        <v>105</v>
      </c>
      <c r="C2390" s="7" t="s">
        <v>2002</v>
      </c>
      <c r="D2390" s="7" t="s">
        <v>2003</v>
      </c>
      <c r="E2390" s="7" t="str">
        <f>"沈枫华"</f>
        <v>沈枫华</v>
      </c>
      <c r="F2390" s="7" t="str">
        <f t="shared" si="576"/>
        <v>男</v>
      </c>
      <c r="G2390" s="7" t="s">
        <v>2018</v>
      </c>
      <c r="H2390" s="8"/>
    </row>
    <row r="2391" ht="25" customHeight="1" spans="1:8">
      <c r="A2391" s="6">
        <v>2389</v>
      </c>
      <c r="B2391" s="7" t="str">
        <f t="shared" si="572"/>
        <v>105</v>
      </c>
      <c r="C2391" s="7" t="s">
        <v>2002</v>
      </c>
      <c r="D2391" s="7" t="s">
        <v>2003</v>
      </c>
      <c r="E2391" s="7" t="str">
        <f>"王首翔"</f>
        <v>王首翔</v>
      </c>
      <c r="F2391" s="7" t="str">
        <f t="shared" si="576"/>
        <v>男</v>
      </c>
      <c r="G2391" s="7" t="s">
        <v>783</v>
      </c>
      <c r="H2391" s="8"/>
    </row>
    <row r="2392" ht="25" customHeight="1" spans="1:8">
      <c r="A2392" s="6">
        <v>2390</v>
      </c>
      <c r="B2392" s="7" t="str">
        <f t="shared" si="572"/>
        <v>105</v>
      </c>
      <c r="C2392" s="7" t="s">
        <v>2002</v>
      </c>
      <c r="D2392" s="7" t="s">
        <v>2003</v>
      </c>
      <c r="E2392" s="7" t="str">
        <f>"王永妍"</f>
        <v>王永妍</v>
      </c>
      <c r="F2392" s="7" t="str">
        <f t="shared" ref="F2392:F2400" si="578">"女"</f>
        <v>女</v>
      </c>
      <c r="G2392" s="7" t="s">
        <v>2019</v>
      </c>
      <c r="H2392" s="8"/>
    </row>
    <row r="2393" ht="25" customHeight="1" spans="1:8">
      <c r="A2393" s="6">
        <v>2391</v>
      </c>
      <c r="B2393" s="7" t="str">
        <f t="shared" si="572"/>
        <v>105</v>
      </c>
      <c r="C2393" s="7" t="s">
        <v>2002</v>
      </c>
      <c r="D2393" s="7" t="s">
        <v>2003</v>
      </c>
      <c r="E2393" s="7" t="str">
        <f>"陈其刚"</f>
        <v>陈其刚</v>
      </c>
      <c r="F2393" s="7" t="str">
        <f>"男"</f>
        <v>男</v>
      </c>
      <c r="G2393" s="7" t="s">
        <v>1088</v>
      </c>
      <c r="H2393" s="8"/>
    </row>
    <row r="2394" ht="25" customHeight="1" spans="1:8">
      <c r="A2394" s="6">
        <v>2392</v>
      </c>
      <c r="B2394" s="7" t="str">
        <f t="shared" si="572"/>
        <v>105</v>
      </c>
      <c r="C2394" s="7" t="s">
        <v>2002</v>
      </c>
      <c r="D2394" s="7" t="s">
        <v>2003</v>
      </c>
      <c r="E2394" s="7" t="str">
        <f>"袁女岚"</f>
        <v>袁女岚</v>
      </c>
      <c r="F2394" s="7" t="str">
        <f t="shared" si="578"/>
        <v>女</v>
      </c>
      <c r="G2394" s="7" t="s">
        <v>748</v>
      </c>
      <c r="H2394" s="8"/>
    </row>
    <row r="2395" ht="25" customHeight="1" spans="1:8">
      <c r="A2395" s="6">
        <v>2393</v>
      </c>
      <c r="B2395" s="7" t="str">
        <f t="shared" si="572"/>
        <v>105</v>
      </c>
      <c r="C2395" s="7" t="s">
        <v>2002</v>
      </c>
      <c r="D2395" s="7" t="s">
        <v>2003</v>
      </c>
      <c r="E2395" s="7" t="str">
        <f>"齐笑"</f>
        <v>齐笑</v>
      </c>
      <c r="F2395" s="7" t="str">
        <f t="shared" si="578"/>
        <v>女</v>
      </c>
      <c r="G2395" s="7" t="s">
        <v>2020</v>
      </c>
      <c r="H2395" s="8"/>
    </row>
    <row r="2396" ht="25" customHeight="1" spans="1:8">
      <c r="A2396" s="6">
        <v>2394</v>
      </c>
      <c r="B2396" s="7" t="str">
        <f t="shared" si="572"/>
        <v>105</v>
      </c>
      <c r="C2396" s="7" t="s">
        <v>2002</v>
      </c>
      <c r="D2396" s="7" t="s">
        <v>2003</v>
      </c>
      <c r="E2396" s="7" t="str">
        <f>"吴桂凤"</f>
        <v>吴桂凤</v>
      </c>
      <c r="F2396" s="7" t="str">
        <f t="shared" si="578"/>
        <v>女</v>
      </c>
      <c r="G2396" s="7" t="s">
        <v>2021</v>
      </c>
      <c r="H2396" s="8"/>
    </row>
    <row r="2397" ht="25" customHeight="1" spans="1:8">
      <c r="A2397" s="6">
        <v>2395</v>
      </c>
      <c r="B2397" s="7" t="str">
        <f t="shared" si="572"/>
        <v>105</v>
      </c>
      <c r="C2397" s="7" t="s">
        <v>2002</v>
      </c>
      <c r="D2397" s="7" t="s">
        <v>2003</v>
      </c>
      <c r="E2397" s="7" t="str">
        <f>"陈文茹"</f>
        <v>陈文茹</v>
      </c>
      <c r="F2397" s="7" t="str">
        <f t="shared" si="578"/>
        <v>女</v>
      </c>
      <c r="G2397" s="7" t="s">
        <v>2022</v>
      </c>
      <c r="H2397" s="8"/>
    </row>
    <row r="2398" ht="25" customHeight="1" spans="1:8">
      <c r="A2398" s="6">
        <v>2396</v>
      </c>
      <c r="B2398" s="7" t="str">
        <f t="shared" si="572"/>
        <v>105</v>
      </c>
      <c r="C2398" s="7" t="s">
        <v>2002</v>
      </c>
      <c r="D2398" s="7" t="s">
        <v>2003</v>
      </c>
      <c r="E2398" s="7" t="str">
        <f>"陈思思"</f>
        <v>陈思思</v>
      </c>
      <c r="F2398" s="7" t="str">
        <f t="shared" si="578"/>
        <v>女</v>
      </c>
      <c r="G2398" s="7" t="s">
        <v>1366</v>
      </c>
      <c r="H2398" s="8"/>
    </row>
    <row r="2399" ht="25" customHeight="1" spans="1:8">
      <c r="A2399" s="6">
        <v>2397</v>
      </c>
      <c r="B2399" s="7" t="str">
        <f t="shared" si="572"/>
        <v>105</v>
      </c>
      <c r="C2399" s="7" t="s">
        <v>2002</v>
      </c>
      <c r="D2399" s="7" t="s">
        <v>2003</v>
      </c>
      <c r="E2399" s="7" t="str">
        <f>"黄可欣"</f>
        <v>黄可欣</v>
      </c>
      <c r="F2399" s="7" t="str">
        <f t="shared" si="578"/>
        <v>女</v>
      </c>
      <c r="G2399" s="7" t="s">
        <v>375</v>
      </c>
      <c r="H2399" s="8"/>
    </row>
    <row r="2400" ht="25" customHeight="1" spans="1:8">
      <c r="A2400" s="6">
        <v>2398</v>
      </c>
      <c r="B2400" s="7" t="str">
        <f t="shared" si="572"/>
        <v>105</v>
      </c>
      <c r="C2400" s="7" t="s">
        <v>2002</v>
      </c>
      <c r="D2400" s="7" t="s">
        <v>2003</v>
      </c>
      <c r="E2400" s="7" t="str">
        <f>"王娜娜"</f>
        <v>王娜娜</v>
      </c>
      <c r="F2400" s="7" t="str">
        <f t="shared" si="578"/>
        <v>女</v>
      </c>
      <c r="G2400" s="7" t="s">
        <v>2023</v>
      </c>
      <c r="H2400" s="8"/>
    </row>
    <row r="2401" ht="25" customHeight="1" spans="1:8">
      <c r="A2401" s="6">
        <v>2399</v>
      </c>
      <c r="B2401" s="7" t="str">
        <f t="shared" si="572"/>
        <v>105</v>
      </c>
      <c r="C2401" s="7" t="s">
        <v>2002</v>
      </c>
      <c r="D2401" s="7" t="s">
        <v>2003</v>
      </c>
      <c r="E2401" s="7" t="str">
        <f>"陈吉寅"</f>
        <v>陈吉寅</v>
      </c>
      <c r="F2401" s="7" t="str">
        <f t="shared" ref="F2401:F2405" si="579">"男"</f>
        <v>男</v>
      </c>
      <c r="G2401" s="7" t="s">
        <v>2024</v>
      </c>
      <c r="H2401" s="8"/>
    </row>
    <row r="2402" ht="25" customHeight="1" spans="1:8">
      <c r="A2402" s="6">
        <v>2400</v>
      </c>
      <c r="B2402" s="7" t="str">
        <f t="shared" si="572"/>
        <v>105</v>
      </c>
      <c r="C2402" s="7" t="s">
        <v>2002</v>
      </c>
      <c r="D2402" s="7" t="s">
        <v>2003</v>
      </c>
      <c r="E2402" s="7" t="str">
        <f>"陈惠萍"</f>
        <v>陈惠萍</v>
      </c>
      <c r="F2402" s="7" t="str">
        <f t="shared" ref="F2402:F2412" si="580">"女"</f>
        <v>女</v>
      </c>
      <c r="G2402" s="7" t="s">
        <v>2025</v>
      </c>
      <c r="H2402" s="8"/>
    </row>
    <row r="2403" ht="25" customHeight="1" spans="1:8">
      <c r="A2403" s="6">
        <v>2401</v>
      </c>
      <c r="B2403" s="7" t="str">
        <f t="shared" si="572"/>
        <v>105</v>
      </c>
      <c r="C2403" s="7" t="s">
        <v>2002</v>
      </c>
      <c r="D2403" s="7" t="s">
        <v>2003</v>
      </c>
      <c r="E2403" s="7" t="str">
        <f>"陈健"</f>
        <v>陈健</v>
      </c>
      <c r="F2403" s="7" t="str">
        <f t="shared" si="579"/>
        <v>男</v>
      </c>
      <c r="G2403" s="7" t="s">
        <v>417</v>
      </c>
      <c r="H2403" s="8"/>
    </row>
    <row r="2404" ht="25" customHeight="1" spans="1:8">
      <c r="A2404" s="6">
        <v>2402</v>
      </c>
      <c r="B2404" s="7" t="str">
        <f t="shared" si="572"/>
        <v>105</v>
      </c>
      <c r="C2404" s="7" t="s">
        <v>2002</v>
      </c>
      <c r="D2404" s="7" t="s">
        <v>2003</v>
      </c>
      <c r="E2404" s="7" t="str">
        <f>"曾美琳"</f>
        <v>曾美琳</v>
      </c>
      <c r="F2404" s="7" t="str">
        <f t="shared" si="580"/>
        <v>女</v>
      </c>
      <c r="G2404" s="7" t="s">
        <v>2026</v>
      </c>
      <c r="H2404" s="8"/>
    </row>
    <row r="2405" ht="25" customHeight="1" spans="1:8">
      <c r="A2405" s="6">
        <v>2403</v>
      </c>
      <c r="B2405" s="7" t="str">
        <f t="shared" si="572"/>
        <v>105</v>
      </c>
      <c r="C2405" s="7" t="s">
        <v>2002</v>
      </c>
      <c r="D2405" s="7" t="s">
        <v>2003</v>
      </c>
      <c r="E2405" s="7" t="str">
        <f>"张志民"</f>
        <v>张志民</v>
      </c>
      <c r="F2405" s="7" t="str">
        <f t="shared" si="579"/>
        <v>男</v>
      </c>
      <c r="G2405" s="7" t="s">
        <v>2027</v>
      </c>
      <c r="H2405" s="8"/>
    </row>
    <row r="2406" ht="25" customHeight="1" spans="1:8">
      <c r="A2406" s="6">
        <v>2404</v>
      </c>
      <c r="B2406" s="7" t="str">
        <f t="shared" si="572"/>
        <v>105</v>
      </c>
      <c r="C2406" s="7" t="s">
        <v>2002</v>
      </c>
      <c r="D2406" s="7" t="s">
        <v>2003</v>
      </c>
      <c r="E2406" s="7" t="str">
        <f>"梁英花"</f>
        <v>梁英花</v>
      </c>
      <c r="F2406" s="7" t="str">
        <f t="shared" si="580"/>
        <v>女</v>
      </c>
      <c r="G2406" s="7" t="s">
        <v>2028</v>
      </c>
      <c r="H2406" s="8"/>
    </row>
    <row r="2407" ht="25" customHeight="1" spans="1:8">
      <c r="A2407" s="6">
        <v>2405</v>
      </c>
      <c r="B2407" s="7" t="str">
        <f t="shared" si="572"/>
        <v>105</v>
      </c>
      <c r="C2407" s="7" t="s">
        <v>2002</v>
      </c>
      <c r="D2407" s="7" t="s">
        <v>2003</v>
      </c>
      <c r="E2407" s="7" t="str">
        <f>"易诗佳"</f>
        <v>易诗佳</v>
      </c>
      <c r="F2407" s="7" t="str">
        <f t="shared" si="580"/>
        <v>女</v>
      </c>
      <c r="G2407" s="7" t="s">
        <v>2029</v>
      </c>
      <c r="H2407" s="8"/>
    </row>
    <row r="2408" ht="25" customHeight="1" spans="1:8">
      <c r="A2408" s="6">
        <v>2406</v>
      </c>
      <c r="B2408" s="7" t="str">
        <f t="shared" si="572"/>
        <v>105</v>
      </c>
      <c r="C2408" s="7" t="s">
        <v>2002</v>
      </c>
      <c r="D2408" s="7" t="s">
        <v>2003</v>
      </c>
      <c r="E2408" s="7" t="str">
        <f>"刘晓雪"</f>
        <v>刘晓雪</v>
      </c>
      <c r="F2408" s="7" t="str">
        <f t="shared" si="580"/>
        <v>女</v>
      </c>
      <c r="G2408" s="7" t="s">
        <v>2030</v>
      </c>
      <c r="H2408" s="8"/>
    </row>
    <row r="2409" ht="25" customHeight="1" spans="1:8">
      <c r="A2409" s="6">
        <v>2407</v>
      </c>
      <c r="B2409" s="7" t="str">
        <f t="shared" si="572"/>
        <v>105</v>
      </c>
      <c r="C2409" s="7" t="s">
        <v>2002</v>
      </c>
      <c r="D2409" s="7" t="s">
        <v>2003</v>
      </c>
      <c r="E2409" s="7" t="str">
        <f>"王石宝"</f>
        <v>王石宝</v>
      </c>
      <c r="F2409" s="7" t="str">
        <f t="shared" si="580"/>
        <v>女</v>
      </c>
      <c r="G2409" s="7" t="s">
        <v>2031</v>
      </c>
      <c r="H2409" s="8"/>
    </row>
    <row r="2410" ht="25" customHeight="1" spans="1:8">
      <c r="A2410" s="6">
        <v>2408</v>
      </c>
      <c r="B2410" s="7" t="str">
        <f t="shared" si="572"/>
        <v>105</v>
      </c>
      <c r="C2410" s="7" t="s">
        <v>2002</v>
      </c>
      <c r="D2410" s="7" t="s">
        <v>2003</v>
      </c>
      <c r="E2410" s="7" t="str">
        <f>"周丽萍"</f>
        <v>周丽萍</v>
      </c>
      <c r="F2410" s="7" t="str">
        <f t="shared" si="580"/>
        <v>女</v>
      </c>
      <c r="G2410" s="7" t="s">
        <v>2032</v>
      </c>
      <c r="H2410" s="8"/>
    </row>
    <row r="2411" ht="25" customHeight="1" spans="1:8">
      <c r="A2411" s="6">
        <v>2409</v>
      </c>
      <c r="B2411" s="7" t="str">
        <f t="shared" si="572"/>
        <v>105</v>
      </c>
      <c r="C2411" s="7" t="s">
        <v>2002</v>
      </c>
      <c r="D2411" s="7" t="s">
        <v>2003</v>
      </c>
      <c r="E2411" s="7" t="str">
        <f>"李嘉嘉"</f>
        <v>李嘉嘉</v>
      </c>
      <c r="F2411" s="7" t="str">
        <f t="shared" si="580"/>
        <v>女</v>
      </c>
      <c r="G2411" s="7" t="s">
        <v>2033</v>
      </c>
      <c r="H2411" s="8"/>
    </row>
    <row r="2412" ht="25" customHeight="1" spans="1:8">
      <c r="A2412" s="6">
        <v>2410</v>
      </c>
      <c r="B2412" s="7" t="str">
        <f t="shared" si="572"/>
        <v>105</v>
      </c>
      <c r="C2412" s="7" t="s">
        <v>2002</v>
      </c>
      <c r="D2412" s="7" t="s">
        <v>2003</v>
      </c>
      <c r="E2412" s="7" t="str">
        <f>"梁译丹"</f>
        <v>梁译丹</v>
      </c>
      <c r="F2412" s="7" t="str">
        <f t="shared" si="580"/>
        <v>女</v>
      </c>
      <c r="G2412" s="7" t="s">
        <v>132</v>
      </c>
      <c r="H2412" s="8"/>
    </row>
    <row r="2413" ht="25" customHeight="1" spans="1:8">
      <c r="A2413" s="6">
        <v>2411</v>
      </c>
      <c r="B2413" s="7" t="str">
        <f t="shared" si="572"/>
        <v>105</v>
      </c>
      <c r="C2413" s="7" t="s">
        <v>2002</v>
      </c>
      <c r="D2413" s="7" t="s">
        <v>2003</v>
      </c>
      <c r="E2413" s="7" t="str">
        <f>"张宇霆"</f>
        <v>张宇霆</v>
      </c>
      <c r="F2413" s="7" t="str">
        <f>"男"</f>
        <v>男</v>
      </c>
      <c r="G2413" s="7" t="s">
        <v>294</v>
      </c>
      <c r="H2413" s="8"/>
    </row>
    <row r="2414" ht="25" customHeight="1" spans="1:8">
      <c r="A2414" s="6">
        <v>2412</v>
      </c>
      <c r="B2414" s="7" t="str">
        <f t="shared" si="572"/>
        <v>105</v>
      </c>
      <c r="C2414" s="7" t="s">
        <v>2002</v>
      </c>
      <c r="D2414" s="7" t="s">
        <v>2003</v>
      </c>
      <c r="E2414" s="7" t="str">
        <f>"姜嫄"</f>
        <v>姜嫄</v>
      </c>
      <c r="F2414" s="7" t="str">
        <f t="shared" ref="F2414:F2416" si="581">"女"</f>
        <v>女</v>
      </c>
      <c r="G2414" s="7" t="s">
        <v>2034</v>
      </c>
      <c r="H2414" s="8"/>
    </row>
    <row r="2415" ht="25" customHeight="1" spans="1:8">
      <c r="A2415" s="6">
        <v>2413</v>
      </c>
      <c r="B2415" s="7" t="str">
        <f t="shared" si="572"/>
        <v>105</v>
      </c>
      <c r="C2415" s="7" t="s">
        <v>2002</v>
      </c>
      <c r="D2415" s="7" t="s">
        <v>2003</v>
      </c>
      <c r="E2415" s="7" t="str">
        <f>"罗丁沛"</f>
        <v>罗丁沛</v>
      </c>
      <c r="F2415" s="7" t="str">
        <f t="shared" si="581"/>
        <v>女</v>
      </c>
      <c r="G2415" s="7" t="s">
        <v>2035</v>
      </c>
      <c r="H2415" s="8"/>
    </row>
    <row r="2416" ht="25" customHeight="1" spans="1:8">
      <c r="A2416" s="6">
        <v>2414</v>
      </c>
      <c r="B2416" s="7" t="str">
        <f t="shared" si="572"/>
        <v>105</v>
      </c>
      <c r="C2416" s="7" t="s">
        <v>2002</v>
      </c>
      <c r="D2416" s="7" t="s">
        <v>2003</v>
      </c>
      <c r="E2416" s="7" t="str">
        <f>"马归慈"</f>
        <v>马归慈</v>
      </c>
      <c r="F2416" s="7" t="str">
        <f t="shared" si="581"/>
        <v>女</v>
      </c>
      <c r="G2416" s="7" t="s">
        <v>2036</v>
      </c>
      <c r="H2416" s="8"/>
    </row>
    <row r="2417" ht="25" customHeight="1" spans="1:8">
      <c r="A2417" s="6">
        <v>2415</v>
      </c>
      <c r="B2417" s="7" t="str">
        <f t="shared" si="572"/>
        <v>105</v>
      </c>
      <c r="C2417" s="7" t="s">
        <v>2002</v>
      </c>
      <c r="D2417" s="7" t="s">
        <v>2003</v>
      </c>
      <c r="E2417" s="7" t="str">
        <f>"林云峥"</f>
        <v>林云峥</v>
      </c>
      <c r="F2417" s="7" t="str">
        <f t="shared" ref="F2417:F2422" si="582">"男"</f>
        <v>男</v>
      </c>
      <c r="G2417" s="7" t="s">
        <v>2037</v>
      </c>
      <c r="H2417" s="8"/>
    </row>
    <row r="2418" ht="25" customHeight="1" spans="1:8">
      <c r="A2418" s="6">
        <v>2416</v>
      </c>
      <c r="B2418" s="7" t="str">
        <f t="shared" si="572"/>
        <v>105</v>
      </c>
      <c r="C2418" s="7" t="s">
        <v>2002</v>
      </c>
      <c r="D2418" s="7" t="s">
        <v>2003</v>
      </c>
      <c r="E2418" s="7" t="str">
        <f>"赖朝圆"</f>
        <v>赖朝圆</v>
      </c>
      <c r="F2418" s="7" t="str">
        <f t="shared" ref="F2418:F2421" si="583">"女"</f>
        <v>女</v>
      </c>
      <c r="G2418" s="7" t="s">
        <v>1913</v>
      </c>
      <c r="H2418" s="8"/>
    </row>
    <row r="2419" ht="25" customHeight="1" spans="1:8">
      <c r="A2419" s="6">
        <v>2417</v>
      </c>
      <c r="B2419" s="7" t="str">
        <f t="shared" si="572"/>
        <v>105</v>
      </c>
      <c r="C2419" s="7" t="s">
        <v>2002</v>
      </c>
      <c r="D2419" s="7" t="s">
        <v>2003</v>
      </c>
      <c r="E2419" s="7" t="str">
        <f>"苗江威"</f>
        <v>苗江威</v>
      </c>
      <c r="F2419" s="7" t="str">
        <f t="shared" si="582"/>
        <v>男</v>
      </c>
      <c r="G2419" s="7" t="s">
        <v>2038</v>
      </c>
      <c r="H2419" s="8"/>
    </row>
    <row r="2420" ht="25" customHeight="1" spans="1:8">
      <c r="A2420" s="6">
        <v>2418</v>
      </c>
      <c r="B2420" s="7" t="str">
        <f t="shared" si="572"/>
        <v>105</v>
      </c>
      <c r="C2420" s="7" t="s">
        <v>2002</v>
      </c>
      <c r="D2420" s="7" t="s">
        <v>2003</v>
      </c>
      <c r="E2420" s="7" t="str">
        <f>"董伟"</f>
        <v>董伟</v>
      </c>
      <c r="F2420" s="7" t="str">
        <f t="shared" si="583"/>
        <v>女</v>
      </c>
      <c r="G2420" s="7" t="s">
        <v>2039</v>
      </c>
      <c r="H2420" s="8"/>
    </row>
    <row r="2421" ht="25" customHeight="1" spans="1:8">
      <c r="A2421" s="6">
        <v>2419</v>
      </c>
      <c r="B2421" s="7" t="str">
        <f t="shared" si="572"/>
        <v>105</v>
      </c>
      <c r="C2421" s="7" t="s">
        <v>2002</v>
      </c>
      <c r="D2421" s="7" t="s">
        <v>2003</v>
      </c>
      <c r="E2421" s="7" t="str">
        <f>"慕容妃"</f>
        <v>慕容妃</v>
      </c>
      <c r="F2421" s="7" t="str">
        <f t="shared" si="583"/>
        <v>女</v>
      </c>
      <c r="G2421" s="7" t="s">
        <v>2040</v>
      </c>
      <c r="H2421" s="8"/>
    </row>
    <row r="2422" ht="25" customHeight="1" spans="1:8">
      <c r="A2422" s="6">
        <v>2420</v>
      </c>
      <c r="B2422" s="7" t="str">
        <f t="shared" si="572"/>
        <v>105</v>
      </c>
      <c r="C2422" s="7" t="s">
        <v>2002</v>
      </c>
      <c r="D2422" s="7" t="s">
        <v>2003</v>
      </c>
      <c r="E2422" s="7" t="str">
        <f>"刘明柯"</f>
        <v>刘明柯</v>
      </c>
      <c r="F2422" s="7" t="str">
        <f t="shared" si="582"/>
        <v>男</v>
      </c>
      <c r="G2422" s="7" t="s">
        <v>2041</v>
      </c>
      <c r="H2422" s="8"/>
    </row>
    <row r="2423" ht="25" customHeight="1" spans="1:8">
      <c r="A2423" s="6">
        <v>2421</v>
      </c>
      <c r="B2423" s="7" t="str">
        <f t="shared" si="572"/>
        <v>105</v>
      </c>
      <c r="C2423" s="7" t="s">
        <v>2002</v>
      </c>
      <c r="D2423" s="7" t="s">
        <v>2003</v>
      </c>
      <c r="E2423" s="7" t="str">
        <f>"孙丹丹"</f>
        <v>孙丹丹</v>
      </c>
      <c r="F2423" s="7" t="str">
        <f t="shared" ref="F2423:F2430" si="584">"女"</f>
        <v>女</v>
      </c>
      <c r="G2423" s="7" t="s">
        <v>2042</v>
      </c>
      <c r="H2423" s="8"/>
    </row>
    <row r="2424" ht="25" customHeight="1" spans="1:8">
      <c r="A2424" s="6">
        <v>2422</v>
      </c>
      <c r="B2424" s="7" t="str">
        <f t="shared" si="572"/>
        <v>105</v>
      </c>
      <c r="C2424" s="7" t="s">
        <v>2002</v>
      </c>
      <c r="D2424" s="7" t="s">
        <v>2003</v>
      </c>
      <c r="E2424" s="7" t="str">
        <f>"郑棕胜"</f>
        <v>郑棕胜</v>
      </c>
      <c r="F2424" s="7" t="str">
        <f>"男"</f>
        <v>男</v>
      </c>
      <c r="G2424" s="7" t="s">
        <v>2043</v>
      </c>
      <c r="H2424" s="8"/>
    </row>
    <row r="2425" ht="25" customHeight="1" spans="1:8">
      <c r="A2425" s="6">
        <v>2423</v>
      </c>
      <c r="B2425" s="7" t="str">
        <f t="shared" si="572"/>
        <v>105</v>
      </c>
      <c r="C2425" s="7" t="s">
        <v>2002</v>
      </c>
      <c r="D2425" s="7" t="s">
        <v>2003</v>
      </c>
      <c r="E2425" s="7" t="str">
        <f>"施国暖"</f>
        <v>施国暖</v>
      </c>
      <c r="F2425" s="7" t="str">
        <f t="shared" si="584"/>
        <v>女</v>
      </c>
      <c r="G2425" s="7" t="s">
        <v>190</v>
      </c>
      <c r="H2425" s="8"/>
    </row>
    <row r="2426" ht="25" customHeight="1" spans="1:8">
      <c r="A2426" s="6">
        <v>2424</v>
      </c>
      <c r="B2426" s="7" t="str">
        <f t="shared" si="572"/>
        <v>105</v>
      </c>
      <c r="C2426" s="7" t="s">
        <v>2002</v>
      </c>
      <c r="D2426" s="7" t="s">
        <v>2003</v>
      </c>
      <c r="E2426" s="7" t="str">
        <f>"吴桐"</f>
        <v>吴桐</v>
      </c>
      <c r="F2426" s="7" t="str">
        <f t="shared" si="584"/>
        <v>女</v>
      </c>
      <c r="G2426" s="7" t="s">
        <v>354</v>
      </c>
      <c r="H2426" s="8"/>
    </row>
    <row r="2427" ht="25" customHeight="1" spans="1:8">
      <c r="A2427" s="6">
        <v>2425</v>
      </c>
      <c r="B2427" s="7" t="str">
        <f t="shared" si="572"/>
        <v>105</v>
      </c>
      <c r="C2427" s="7" t="s">
        <v>2002</v>
      </c>
      <c r="D2427" s="7" t="s">
        <v>2003</v>
      </c>
      <c r="E2427" s="7" t="str">
        <f>"冯婧"</f>
        <v>冯婧</v>
      </c>
      <c r="F2427" s="7" t="str">
        <f t="shared" si="584"/>
        <v>女</v>
      </c>
      <c r="G2427" s="7" t="s">
        <v>2044</v>
      </c>
      <c r="H2427" s="8"/>
    </row>
    <row r="2428" ht="25" customHeight="1" spans="1:8">
      <c r="A2428" s="6">
        <v>2426</v>
      </c>
      <c r="B2428" s="7" t="str">
        <f t="shared" si="572"/>
        <v>105</v>
      </c>
      <c r="C2428" s="7" t="s">
        <v>2002</v>
      </c>
      <c r="D2428" s="7" t="s">
        <v>2003</v>
      </c>
      <c r="E2428" s="7" t="str">
        <f>"覃业媛"</f>
        <v>覃业媛</v>
      </c>
      <c r="F2428" s="7" t="str">
        <f t="shared" si="584"/>
        <v>女</v>
      </c>
      <c r="G2428" s="7" t="s">
        <v>2045</v>
      </c>
      <c r="H2428" s="8"/>
    </row>
    <row r="2429" ht="25" customHeight="1" spans="1:8">
      <c r="A2429" s="6">
        <v>2427</v>
      </c>
      <c r="B2429" s="7" t="str">
        <f t="shared" si="572"/>
        <v>105</v>
      </c>
      <c r="C2429" s="7" t="s">
        <v>2002</v>
      </c>
      <c r="D2429" s="7" t="s">
        <v>2003</v>
      </c>
      <c r="E2429" s="7" t="str">
        <f>"周艳玲"</f>
        <v>周艳玲</v>
      </c>
      <c r="F2429" s="7" t="str">
        <f t="shared" si="584"/>
        <v>女</v>
      </c>
      <c r="G2429" s="7" t="s">
        <v>841</v>
      </c>
      <c r="H2429" s="8"/>
    </row>
    <row r="2430" ht="25" customHeight="1" spans="1:8">
      <c r="A2430" s="6">
        <v>2428</v>
      </c>
      <c r="B2430" s="7" t="str">
        <f t="shared" si="572"/>
        <v>105</v>
      </c>
      <c r="C2430" s="7" t="s">
        <v>2002</v>
      </c>
      <c r="D2430" s="7" t="s">
        <v>2003</v>
      </c>
      <c r="E2430" s="7" t="str">
        <f>"王义香"</f>
        <v>王义香</v>
      </c>
      <c r="F2430" s="7" t="str">
        <f t="shared" si="584"/>
        <v>女</v>
      </c>
      <c r="G2430" s="7" t="s">
        <v>2046</v>
      </c>
      <c r="H2430" s="8"/>
    </row>
    <row r="2431" ht="25" customHeight="1" spans="1:8">
      <c r="A2431" s="6">
        <v>2429</v>
      </c>
      <c r="B2431" s="7" t="str">
        <f t="shared" si="572"/>
        <v>105</v>
      </c>
      <c r="C2431" s="7" t="s">
        <v>2002</v>
      </c>
      <c r="D2431" s="7" t="s">
        <v>2003</v>
      </c>
      <c r="E2431" s="7" t="str">
        <f>"商春泽"</f>
        <v>商春泽</v>
      </c>
      <c r="F2431" s="7" t="str">
        <f t="shared" ref="F2431:F2434" si="585">"男"</f>
        <v>男</v>
      </c>
      <c r="G2431" s="7" t="s">
        <v>2047</v>
      </c>
      <c r="H2431" s="8"/>
    </row>
    <row r="2432" ht="25" customHeight="1" spans="1:8">
      <c r="A2432" s="6">
        <v>2430</v>
      </c>
      <c r="B2432" s="7" t="str">
        <f t="shared" si="572"/>
        <v>105</v>
      </c>
      <c r="C2432" s="7" t="s">
        <v>2002</v>
      </c>
      <c r="D2432" s="7" t="s">
        <v>2003</v>
      </c>
      <c r="E2432" s="7" t="str">
        <f>"詹志清"</f>
        <v>詹志清</v>
      </c>
      <c r="F2432" s="7" t="str">
        <f t="shared" ref="F2432:F2439" si="586">"女"</f>
        <v>女</v>
      </c>
      <c r="G2432" s="7" t="s">
        <v>1004</v>
      </c>
      <c r="H2432" s="8"/>
    </row>
    <row r="2433" ht="25" customHeight="1" spans="1:8">
      <c r="A2433" s="6">
        <v>2431</v>
      </c>
      <c r="B2433" s="7" t="str">
        <f t="shared" si="572"/>
        <v>105</v>
      </c>
      <c r="C2433" s="7" t="s">
        <v>2002</v>
      </c>
      <c r="D2433" s="7" t="s">
        <v>2003</v>
      </c>
      <c r="E2433" s="7" t="str">
        <f>"邱发开"</f>
        <v>邱发开</v>
      </c>
      <c r="F2433" s="7" t="str">
        <f t="shared" si="585"/>
        <v>男</v>
      </c>
      <c r="G2433" s="7" t="s">
        <v>2048</v>
      </c>
      <c r="H2433" s="8"/>
    </row>
    <row r="2434" ht="25" customHeight="1" spans="1:8">
      <c r="A2434" s="6">
        <v>2432</v>
      </c>
      <c r="B2434" s="7" t="str">
        <f t="shared" si="572"/>
        <v>105</v>
      </c>
      <c r="C2434" s="7" t="s">
        <v>2002</v>
      </c>
      <c r="D2434" s="7" t="s">
        <v>2003</v>
      </c>
      <c r="E2434" s="7" t="str">
        <f>"翟尤铭"</f>
        <v>翟尤铭</v>
      </c>
      <c r="F2434" s="7" t="str">
        <f t="shared" si="585"/>
        <v>男</v>
      </c>
      <c r="G2434" s="7" t="s">
        <v>2049</v>
      </c>
      <c r="H2434" s="8"/>
    </row>
    <row r="2435" ht="25" customHeight="1" spans="1:8">
      <c r="A2435" s="6">
        <v>2433</v>
      </c>
      <c r="B2435" s="7" t="str">
        <f t="shared" si="572"/>
        <v>105</v>
      </c>
      <c r="C2435" s="7" t="s">
        <v>2002</v>
      </c>
      <c r="D2435" s="7" t="s">
        <v>2003</v>
      </c>
      <c r="E2435" s="7" t="str">
        <f>"高银洁"</f>
        <v>高银洁</v>
      </c>
      <c r="F2435" s="7" t="str">
        <f t="shared" si="586"/>
        <v>女</v>
      </c>
      <c r="G2435" s="7" t="s">
        <v>2050</v>
      </c>
      <c r="H2435" s="8"/>
    </row>
    <row r="2436" ht="25" customHeight="1" spans="1:8">
      <c r="A2436" s="6">
        <v>2434</v>
      </c>
      <c r="B2436" s="7" t="str">
        <f t="shared" ref="B2436:B2499" si="587">"105"</f>
        <v>105</v>
      </c>
      <c r="C2436" s="7" t="s">
        <v>2002</v>
      </c>
      <c r="D2436" s="7" t="s">
        <v>2003</v>
      </c>
      <c r="E2436" s="7" t="str">
        <f>"杨玉冰"</f>
        <v>杨玉冰</v>
      </c>
      <c r="F2436" s="7" t="str">
        <f t="shared" si="586"/>
        <v>女</v>
      </c>
      <c r="G2436" s="7" t="s">
        <v>67</v>
      </c>
      <c r="H2436" s="8"/>
    </row>
    <row r="2437" ht="25" customHeight="1" spans="1:8">
      <c r="A2437" s="6">
        <v>2435</v>
      </c>
      <c r="B2437" s="7" t="str">
        <f t="shared" si="587"/>
        <v>105</v>
      </c>
      <c r="C2437" s="7" t="s">
        <v>2002</v>
      </c>
      <c r="D2437" s="7" t="s">
        <v>2003</v>
      </c>
      <c r="E2437" s="7" t="str">
        <f>"曾春翠"</f>
        <v>曾春翠</v>
      </c>
      <c r="F2437" s="7" t="str">
        <f t="shared" si="586"/>
        <v>女</v>
      </c>
      <c r="G2437" s="7" t="s">
        <v>854</v>
      </c>
      <c r="H2437" s="8"/>
    </row>
    <row r="2438" ht="25" customHeight="1" spans="1:8">
      <c r="A2438" s="6">
        <v>2436</v>
      </c>
      <c r="B2438" s="7" t="str">
        <f t="shared" si="587"/>
        <v>105</v>
      </c>
      <c r="C2438" s="7" t="s">
        <v>2002</v>
      </c>
      <c r="D2438" s="7" t="s">
        <v>2003</v>
      </c>
      <c r="E2438" s="7" t="str">
        <f>"黎婧"</f>
        <v>黎婧</v>
      </c>
      <c r="F2438" s="7" t="str">
        <f t="shared" si="586"/>
        <v>女</v>
      </c>
      <c r="G2438" s="7" t="s">
        <v>940</v>
      </c>
      <c r="H2438" s="8"/>
    </row>
    <row r="2439" ht="25" customHeight="1" spans="1:8">
      <c r="A2439" s="6">
        <v>2437</v>
      </c>
      <c r="B2439" s="7" t="str">
        <f t="shared" si="587"/>
        <v>105</v>
      </c>
      <c r="C2439" s="7" t="s">
        <v>2002</v>
      </c>
      <c r="D2439" s="7" t="s">
        <v>2003</v>
      </c>
      <c r="E2439" s="7" t="str">
        <f>"羊燕萍"</f>
        <v>羊燕萍</v>
      </c>
      <c r="F2439" s="7" t="str">
        <f t="shared" si="586"/>
        <v>女</v>
      </c>
      <c r="G2439" s="7" t="s">
        <v>1665</v>
      </c>
      <c r="H2439" s="8"/>
    </row>
    <row r="2440" ht="25" customHeight="1" spans="1:8">
      <c r="A2440" s="6">
        <v>2438</v>
      </c>
      <c r="B2440" s="7" t="str">
        <f t="shared" si="587"/>
        <v>105</v>
      </c>
      <c r="C2440" s="7" t="s">
        <v>2002</v>
      </c>
      <c r="D2440" s="7" t="s">
        <v>2003</v>
      </c>
      <c r="E2440" s="7" t="str">
        <f>"王高宇"</f>
        <v>王高宇</v>
      </c>
      <c r="F2440" s="7" t="str">
        <f>"男"</f>
        <v>男</v>
      </c>
      <c r="G2440" s="7" t="s">
        <v>878</v>
      </c>
      <c r="H2440" s="8"/>
    </row>
    <row r="2441" ht="25" customHeight="1" spans="1:8">
      <c r="A2441" s="6">
        <v>2439</v>
      </c>
      <c r="B2441" s="7" t="str">
        <f t="shared" si="587"/>
        <v>105</v>
      </c>
      <c r="C2441" s="7" t="s">
        <v>2002</v>
      </c>
      <c r="D2441" s="7" t="s">
        <v>2003</v>
      </c>
      <c r="E2441" s="7" t="str">
        <f>"黄丹丹"</f>
        <v>黄丹丹</v>
      </c>
      <c r="F2441" s="7" t="str">
        <f t="shared" ref="F2441:F2443" si="588">"女"</f>
        <v>女</v>
      </c>
      <c r="G2441" s="7" t="s">
        <v>375</v>
      </c>
      <c r="H2441" s="8"/>
    </row>
    <row r="2442" ht="25" customHeight="1" spans="1:8">
      <c r="A2442" s="6">
        <v>2440</v>
      </c>
      <c r="B2442" s="7" t="str">
        <f t="shared" si="587"/>
        <v>105</v>
      </c>
      <c r="C2442" s="7" t="s">
        <v>2002</v>
      </c>
      <c r="D2442" s="7" t="s">
        <v>2003</v>
      </c>
      <c r="E2442" s="7" t="str">
        <f>"胡亲亲"</f>
        <v>胡亲亲</v>
      </c>
      <c r="F2442" s="7" t="str">
        <f t="shared" si="588"/>
        <v>女</v>
      </c>
      <c r="G2442" s="7" t="s">
        <v>618</v>
      </c>
      <c r="H2442" s="8"/>
    </row>
    <row r="2443" ht="25" customHeight="1" spans="1:8">
      <c r="A2443" s="6">
        <v>2441</v>
      </c>
      <c r="B2443" s="7" t="str">
        <f t="shared" si="587"/>
        <v>105</v>
      </c>
      <c r="C2443" s="7" t="s">
        <v>2002</v>
      </c>
      <c r="D2443" s="7" t="s">
        <v>2003</v>
      </c>
      <c r="E2443" s="7" t="str">
        <f>"卢小萱"</f>
        <v>卢小萱</v>
      </c>
      <c r="F2443" s="7" t="str">
        <f t="shared" si="588"/>
        <v>女</v>
      </c>
      <c r="G2443" s="7" t="s">
        <v>2051</v>
      </c>
      <c r="H2443" s="8"/>
    </row>
    <row r="2444" ht="25" customHeight="1" spans="1:8">
      <c r="A2444" s="6">
        <v>2442</v>
      </c>
      <c r="B2444" s="7" t="str">
        <f t="shared" si="587"/>
        <v>105</v>
      </c>
      <c r="C2444" s="7" t="s">
        <v>2002</v>
      </c>
      <c r="D2444" s="7" t="s">
        <v>2003</v>
      </c>
      <c r="E2444" s="7" t="str">
        <f>"辛泰松"</f>
        <v>辛泰松</v>
      </c>
      <c r="F2444" s="7" t="str">
        <f>"男"</f>
        <v>男</v>
      </c>
      <c r="G2444" s="7" t="s">
        <v>2052</v>
      </c>
      <c r="H2444" s="8"/>
    </row>
    <row r="2445" ht="25" customHeight="1" spans="1:8">
      <c r="A2445" s="6">
        <v>2443</v>
      </c>
      <c r="B2445" s="7" t="str">
        <f t="shared" si="587"/>
        <v>105</v>
      </c>
      <c r="C2445" s="7" t="s">
        <v>2002</v>
      </c>
      <c r="D2445" s="7" t="s">
        <v>2003</v>
      </c>
      <c r="E2445" s="7" t="str">
        <f>"王晓涵"</f>
        <v>王晓涵</v>
      </c>
      <c r="F2445" s="7" t="str">
        <f t="shared" ref="F2445:F2447" si="589">"女"</f>
        <v>女</v>
      </c>
      <c r="G2445" s="7" t="s">
        <v>2053</v>
      </c>
      <c r="H2445" s="8"/>
    </row>
    <row r="2446" ht="25" customHeight="1" spans="1:8">
      <c r="A2446" s="6">
        <v>2444</v>
      </c>
      <c r="B2446" s="7" t="str">
        <f t="shared" si="587"/>
        <v>105</v>
      </c>
      <c r="C2446" s="7" t="s">
        <v>2002</v>
      </c>
      <c r="D2446" s="7" t="s">
        <v>2003</v>
      </c>
      <c r="E2446" s="7" t="str">
        <f>"钟南英"</f>
        <v>钟南英</v>
      </c>
      <c r="F2446" s="7" t="str">
        <f t="shared" si="589"/>
        <v>女</v>
      </c>
      <c r="G2446" s="7" t="s">
        <v>2054</v>
      </c>
      <c r="H2446" s="8"/>
    </row>
    <row r="2447" ht="25" customHeight="1" spans="1:8">
      <c r="A2447" s="6">
        <v>2445</v>
      </c>
      <c r="B2447" s="7" t="str">
        <f t="shared" si="587"/>
        <v>105</v>
      </c>
      <c r="C2447" s="7" t="s">
        <v>2002</v>
      </c>
      <c r="D2447" s="7" t="s">
        <v>2003</v>
      </c>
      <c r="E2447" s="7" t="str">
        <f>"欧俊丽"</f>
        <v>欧俊丽</v>
      </c>
      <c r="F2447" s="7" t="str">
        <f t="shared" si="589"/>
        <v>女</v>
      </c>
      <c r="G2447" s="7" t="s">
        <v>2055</v>
      </c>
      <c r="H2447" s="8"/>
    </row>
    <row r="2448" ht="25" customHeight="1" spans="1:8">
      <c r="A2448" s="6">
        <v>2446</v>
      </c>
      <c r="B2448" s="7" t="str">
        <f t="shared" si="587"/>
        <v>105</v>
      </c>
      <c r="C2448" s="7" t="s">
        <v>2002</v>
      </c>
      <c r="D2448" s="7" t="s">
        <v>2003</v>
      </c>
      <c r="E2448" s="7" t="str">
        <f>"黄青勇"</f>
        <v>黄青勇</v>
      </c>
      <c r="F2448" s="7" t="str">
        <f>"男"</f>
        <v>男</v>
      </c>
      <c r="G2448" s="7" t="s">
        <v>2056</v>
      </c>
      <c r="H2448" s="8"/>
    </row>
    <row r="2449" ht="25" customHeight="1" spans="1:8">
      <c r="A2449" s="6">
        <v>2447</v>
      </c>
      <c r="B2449" s="7" t="str">
        <f t="shared" si="587"/>
        <v>105</v>
      </c>
      <c r="C2449" s="7" t="s">
        <v>2002</v>
      </c>
      <c r="D2449" s="7" t="s">
        <v>2003</v>
      </c>
      <c r="E2449" s="7" t="str">
        <f>"高秀菊"</f>
        <v>高秀菊</v>
      </c>
      <c r="F2449" s="7" t="str">
        <f t="shared" ref="F2449:F2453" si="590">"女"</f>
        <v>女</v>
      </c>
      <c r="G2449" s="7" t="s">
        <v>2057</v>
      </c>
      <c r="H2449" s="8"/>
    </row>
    <row r="2450" ht="25" customHeight="1" spans="1:8">
      <c r="A2450" s="6">
        <v>2448</v>
      </c>
      <c r="B2450" s="7" t="str">
        <f t="shared" si="587"/>
        <v>105</v>
      </c>
      <c r="C2450" s="7" t="s">
        <v>2002</v>
      </c>
      <c r="D2450" s="7" t="s">
        <v>2003</v>
      </c>
      <c r="E2450" s="7" t="str">
        <f>"谢有思"</f>
        <v>谢有思</v>
      </c>
      <c r="F2450" s="7" t="str">
        <f t="shared" si="590"/>
        <v>女</v>
      </c>
      <c r="G2450" s="7" t="s">
        <v>911</v>
      </c>
      <c r="H2450" s="8"/>
    </row>
    <row r="2451" ht="25" customHeight="1" spans="1:8">
      <c r="A2451" s="6">
        <v>2449</v>
      </c>
      <c r="B2451" s="7" t="str">
        <f t="shared" si="587"/>
        <v>105</v>
      </c>
      <c r="C2451" s="7" t="s">
        <v>2002</v>
      </c>
      <c r="D2451" s="7" t="s">
        <v>2003</v>
      </c>
      <c r="E2451" s="7" t="str">
        <f>"程何群"</f>
        <v>程何群</v>
      </c>
      <c r="F2451" s="7" t="str">
        <f t="shared" ref="F2451:F2457" si="591">"男"</f>
        <v>男</v>
      </c>
      <c r="G2451" s="7" t="s">
        <v>2058</v>
      </c>
      <c r="H2451" s="8"/>
    </row>
    <row r="2452" ht="25" customHeight="1" spans="1:8">
      <c r="A2452" s="6">
        <v>2450</v>
      </c>
      <c r="B2452" s="7" t="str">
        <f t="shared" si="587"/>
        <v>105</v>
      </c>
      <c r="C2452" s="7" t="s">
        <v>2002</v>
      </c>
      <c r="D2452" s="7" t="s">
        <v>2003</v>
      </c>
      <c r="E2452" s="7" t="str">
        <f>"王娣"</f>
        <v>王娣</v>
      </c>
      <c r="F2452" s="7" t="str">
        <f t="shared" si="590"/>
        <v>女</v>
      </c>
      <c r="G2452" s="7" t="s">
        <v>2059</v>
      </c>
      <c r="H2452" s="8"/>
    </row>
    <row r="2453" ht="25" customHeight="1" spans="1:8">
      <c r="A2453" s="6">
        <v>2451</v>
      </c>
      <c r="B2453" s="7" t="str">
        <f t="shared" si="587"/>
        <v>105</v>
      </c>
      <c r="C2453" s="7" t="s">
        <v>2002</v>
      </c>
      <c r="D2453" s="7" t="s">
        <v>2003</v>
      </c>
      <c r="E2453" s="7" t="str">
        <f>"贾蓉花"</f>
        <v>贾蓉花</v>
      </c>
      <c r="F2453" s="7" t="str">
        <f t="shared" si="590"/>
        <v>女</v>
      </c>
      <c r="G2453" s="7" t="s">
        <v>2060</v>
      </c>
      <c r="H2453" s="8"/>
    </row>
    <row r="2454" ht="25" customHeight="1" spans="1:8">
      <c r="A2454" s="6">
        <v>2452</v>
      </c>
      <c r="B2454" s="7" t="str">
        <f t="shared" si="587"/>
        <v>105</v>
      </c>
      <c r="C2454" s="7" t="s">
        <v>2002</v>
      </c>
      <c r="D2454" s="7" t="s">
        <v>2003</v>
      </c>
      <c r="E2454" s="7" t="str">
        <f>"钟华"</f>
        <v>钟华</v>
      </c>
      <c r="F2454" s="7" t="str">
        <f t="shared" si="591"/>
        <v>男</v>
      </c>
      <c r="G2454" s="7" t="s">
        <v>294</v>
      </c>
      <c r="H2454" s="8"/>
    </row>
    <row r="2455" ht="25" customHeight="1" spans="1:8">
      <c r="A2455" s="6">
        <v>2453</v>
      </c>
      <c r="B2455" s="7" t="str">
        <f t="shared" si="587"/>
        <v>105</v>
      </c>
      <c r="C2455" s="7" t="s">
        <v>2002</v>
      </c>
      <c r="D2455" s="7" t="s">
        <v>2003</v>
      </c>
      <c r="E2455" s="7" t="str">
        <f>"李竹韵"</f>
        <v>李竹韵</v>
      </c>
      <c r="F2455" s="7" t="str">
        <f t="shared" ref="F2455:F2460" si="592">"女"</f>
        <v>女</v>
      </c>
      <c r="G2455" s="7" t="s">
        <v>2061</v>
      </c>
      <c r="H2455" s="8"/>
    </row>
    <row r="2456" ht="25" customHeight="1" spans="1:8">
      <c r="A2456" s="6">
        <v>2454</v>
      </c>
      <c r="B2456" s="7" t="str">
        <f t="shared" si="587"/>
        <v>105</v>
      </c>
      <c r="C2456" s="7" t="s">
        <v>2002</v>
      </c>
      <c r="D2456" s="7" t="s">
        <v>2003</v>
      </c>
      <c r="E2456" s="7" t="str">
        <f>"曾繁斌"</f>
        <v>曾繁斌</v>
      </c>
      <c r="F2456" s="7" t="str">
        <f t="shared" si="591"/>
        <v>男</v>
      </c>
      <c r="G2456" s="7" t="s">
        <v>2062</v>
      </c>
      <c r="H2456" s="8"/>
    </row>
    <row r="2457" ht="25" customHeight="1" spans="1:8">
      <c r="A2457" s="6">
        <v>2455</v>
      </c>
      <c r="B2457" s="7" t="str">
        <f t="shared" si="587"/>
        <v>105</v>
      </c>
      <c r="C2457" s="7" t="s">
        <v>2002</v>
      </c>
      <c r="D2457" s="7" t="s">
        <v>2003</v>
      </c>
      <c r="E2457" s="7" t="str">
        <f>"王伦"</f>
        <v>王伦</v>
      </c>
      <c r="F2457" s="7" t="str">
        <f t="shared" si="591"/>
        <v>男</v>
      </c>
      <c r="G2457" s="7" t="s">
        <v>1245</v>
      </c>
      <c r="H2457" s="8"/>
    </row>
    <row r="2458" ht="25" customHeight="1" spans="1:8">
      <c r="A2458" s="6">
        <v>2456</v>
      </c>
      <c r="B2458" s="7" t="str">
        <f t="shared" si="587"/>
        <v>105</v>
      </c>
      <c r="C2458" s="7" t="s">
        <v>2002</v>
      </c>
      <c r="D2458" s="7" t="s">
        <v>2003</v>
      </c>
      <c r="E2458" s="7" t="str">
        <f>"王玉茧"</f>
        <v>王玉茧</v>
      </c>
      <c r="F2458" s="7" t="str">
        <f t="shared" si="592"/>
        <v>女</v>
      </c>
      <c r="G2458" s="7" t="s">
        <v>1362</v>
      </c>
      <c r="H2458" s="8"/>
    </row>
    <row r="2459" ht="25" customHeight="1" spans="1:8">
      <c r="A2459" s="6">
        <v>2457</v>
      </c>
      <c r="B2459" s="7" t="str">
        <f t="shared" si="587"/>
        <v>105</v>
      </c>
      <c r="C2459" s="7" t="s">
        <v>2002</v>
      </c>
      <c r="D2459" s="7" t="s">
        <v>2003</v>
      </c>
      <c r="E2459" s="7" t="str">
        <f>"冯善伟"</f>
        <v>冯善伟</v>
      </c>
      <c r="F2459" s="7" t="str">
        <f t="shared" ref="F2459:F2462" si="593">"男"</f>
        <v>男</v>
      </c>
      <c r="G2459" s="7" t="s">
        <v>2063</v>
      </c>
      <c r="H2459" s="8"/>
    </row>
    <row r="2460" ht="25" customHeight="1" spans="1:8">
      <c r="A2460" s="6">
        <v>2458</v>
      </c>
      <c r="B2460" s="7" t="str">
        <f t="shared" si="587"/>
        <v>105</v>
      </c>
      <c r="C2460" s="7" t="s">
        <v>2002</v>
      </c>
      <c r="D2460" s="7" t="s">
        <v>2003</v>
      </c>
      <c r="E2460" s="7" t="str">
        <f>"李欣怡"</f>
        <v>李欣怡</v>
      </c>
      <c r="F2460" s="7" t="str">
        <f t="shared" si="592"/>
        <v>女</v>
      </c>
      <c r="G2460" s="7" t="s">
        <v>2064</v>
      </c>
      <c r="H2460" s="8"/>
    </row>
    <row r="2461" ht="25" customHeight="1" spans="1:8">
      <c r="A2461" s="6">
        <v>2459</v>
      </c>
      <c r="B2461" s="7" t="str">
        <f t="shared" si="587"/>
        <v>105</v>
      </c>
      <c r="C2461" s="7" t="s">
        <v>2002</v>
      </c>
      <c r="D2461" s="7" t="s">
        <v>2003</v>
      </c>
      <c r="E2461" s="7" t="str">
        <f>"朱奕冰"</f>
        <v>朱奕冰</v>
      </c>
      <c r="F2461" s="7" t="str">
        <f t="shared" si="593"/>
        <v>男</v>
      </c>
      <c r="G2461" s="7" t="s">
        <v>2065</v>
      </c>
      <c r="H2461" s="8"/>
    </row>
    <row r="2462" ht="25" customHeight="1" spans="1:8">
      <c r="A2462" s="6">
        <v>2460</v>
      </c>
      <c r="B2462" s="7" t="str">
        <f t="shared" si="587"/>
        <v>105</v>
      </c>
      <c r="C2462" s="7" t="s">
        <v>2002</v>
      </c>
      <c r="D2462" s="7" t="s">
        <v>2003</v>
      </c>
      <c r="E2462" s="7" t="str">
        <f>"吴凯"</f>
        <v>吴凯</v>
      </c>
      <c r="F2462" s="7" t="str">
        <f t="shared" si="593"/>
        <v>男</v>
      </c>
      <c r="G2462" s="7" t="s">
        <v>2066</v>
      </c>
      <c r="H2462" s="8"/>
    </row>
    <row r="2463" ht="25" customHeight="1" spans="1:8">
      <c r="A2463" s="6">
        <v>2461</v>
      </c>
      <c r="B2463" s="7" t="str">
        <f t="shared" si="587"/>
        <v>105</v>
      </c>
      <c r="C2463" s="7" t="s">
        <v>2002</v>
      </c>
      <c r="D2463" s="7" t="s">
        <v>2003</v>
      </c>
      <c r="E2463" s="7" t="str">
        <f>"杜茜雨"</f>
        <v>杜茜雨</v>
      </c>
      <c r="F2463" s="7" t="str">
        <f t="shared" ref="F2463:F2466" si="594">"女"</f>
        <v>女</v>
      </c>
      <c r="G2463" s="7" t="s">
        <v>2067</v>
      </c>
      <c r="H2463" s="8"/>
    </row>
    <row r="2464" ht="25" customHeight="1" spans="1:8">
      <c r="A2464" s="6">
        <v>2462</v>
      </c>
      <c r="B2464" s="7" t="str">
        <f t="shared" si="587"/>
        <v>105</v>
      </c>
      <c r="C2464" s="7" t="s">
        <v>2002</v>
      </c>
      <c r="D2464" s="7" t="s">
        <v>2003</v>
      </c>
      <c r="E2464" s="7" t="str">
        <f>"刘元铮"</f>
        <v>刘元铮</v>
      </c>
      <c r="F2464" s="7" t="str">
        <f>"男"</f>
        <v>男</v>
      </c>
      <c r="G2464" s="7" t="s">
        <v>622</v>
      </c>
      <c r="H2464" s="8"/>
    </row>
    <row r="2465" ht="25" customHeight="1" spans="1:8">
      <c r="A2465" s="6">
        <v>2463</v>
      </c>
      <c r="B2465" s="7" t="str">
        <f t="shared" si="587"/>
        <v>105</v>
      </c>
      <c r="C2465" s="7" t="s">
        <v>2002</v>
      </c>
      <c r="D2465" s="7" t="s">
        <v>2003</v>
      </c>
      <c r="E2465" s="7" t="str">
        <f>"王颖"</f>
        <v>王颖</v>
      </c>
      <c r="F2465" s="7" t="str">
        <f t="shared" si="594"/>
        <v>女</v>
      </c>
      <c r="G2465" s="7" t="s">
        <v>79</v>
      </c>
      <c r="H2465" s="8"/>
    </row>
    <row r="2466" ht="25" customHeight="1" spans="1:8">
      <c r="A2466" s="6">
        <v>2464</v>
      </c>
      <c r="B2466" s="7" t="str">
        <f t="shared" si="587"/>
        <v>105</v>
      </c>
      <c r="C2466" s="7" t="s">
        <v>2002</v>
      </c>
      <c r="D2466" s="7" t="s">
        <v>2003</v>
      </c>
      <c r="E2466" s="7" t="str">
        <f>"谢晴晴"</f>
        <v>谢晴晴</v>
      </c>
      <c r="F2466" s="7" t="str">
        <f t="shared" si="594"/>
        <v>女</v>
      </c>
      <c r="G2466" s="7" t="s">
        <v>2068</v>
      </c>
      <c r="H2466" s="8"/>
    </row>
    <row r="2467" ht="25" customHeight="1" spans="1:8">
      <c r="A2467" s="6">
        <v>2465</v>
      </c>
      <c r="B2467" s="7" t="str">
        <f t="shared" si="587"/>
        <v>105</v>
      </c>
      <c r="C2467" s="7" t="s">
        <v>2002</v>
      </c>
      <c r="D2467" s="7" t="s">
        <v>2003</v>
      </c>
      <c r="E2467" s="7" t="str">
        <f>"吴春标"</f>
        <v>吴春标</v>
      </c>
      <c r="F2467" s="7" t="str">
        <f t="shared" ref="F2467:F2472" si="595">"男"</f>
        <v>男</v>
      </c>
      <c r="G2467" s="7" t="s">
        <v>2069</v>
      </c>
      <c r="H2467" s="8"/>
    </row>
    <row r="2468" ht="25" customHeight="1" spans="1:8">
      <c r="A2468" s="6">
        <v>2466</v>
      </c>
      <c r="B2468" s="7" t="str">
        <f t="shared" si="587"/>
        <v>105</v>
      </c>
      <c r="C2468" s="7" t="s">
        <v>2002</v>
      </c>
      <c r="D2468" s="7" t="s">
        <v>2003</v>
      </c>
      <c r="E2468" s="7" t="str">
        <f>"陈郁萱"</f>
        <v>陈郁萱</v>
      </c>
      <c r="F2468" s="7" t="str">
        <f t="shared" ref="F2468:F2471" si="596">"女"</f>
        <v>女</v>
      </c>
      <c r="G2468" s="7" t="s">
        <v>1387</v>
      </c>
      <c r="H2468" s="8"/>
    </row>
    <row r="2469" ht="25" customHeight="1" spans="1:8">
      <c r="A2469" s="6">
        <v>2467</v>
      </c>
      <c r="B2469" s="7" t="str">
        <f t="shared" si="587"/>
        <v>105</v>
      </c>
      <c r="C2469" s="7" t="s">
        <v>2002</v>
      </c>
      <c r="D2469" s="7" t="s">
        <v>2003</v>
      </c>
      <c r="E2469" s="7" t="str">
        <f>"董德群"</f>
        <v>董德群</v>
      </c>
      <c r="F2469" s="7" t="str">
        <f t="shared" si="596"/>
        <v>女</v>
      </c>
      <c r="G2469" s="7" t="s">
        <v>67</v>
      </c>
      <c r="H2469" s="8"/>
    </row>
    <row r="2470" ht="25" customHeight="1" spans="1:8">
      <c r="A2470" s="6">
        <v>2468</v>
      </c>
      <c r="B2470" s="7" t="str">
        <f t="shared" si="587"/>
        <v>105</v>
      </c>
      <c r="C2470" s="7" t="s">
        <v>2002</v>
      </c>
      <c r="D2470" s="7" t="s">
        <v>2003</v>
      </c>
      <c r="E2470" s="7" t="str">
        <f>"林师"</f>
        <v>林师</v>
      </c>
      <c r="F2470" s="7" t="str">
        <f t="shared" si="595"/>
        <v>男</v>
      </c>
      <c r="G2470" s="7" t="s">
        <v>2070</v>
      </c>
      <c r="H2470" s="8"/>
    </row>
    <row r="2471" ht="25" customHeight="1" spans="1:8">
      <c r="A2471" s="6">
        <v>2469</v>
      </c>
      <c r="B2471" s="7" t="str">
        <f t="shared" si="587"/>
        <v>105</v>
      </c>
      <c r="C2471" s="7" t="s">
        <v>2002</v>
      </c>
      <c r="D2471" s="7" t="s">
        <v>2003</v>
      </c>
      <c r="E2471" s="7" t="str">
        <f>"王艺玮"</f>
        <v>王艺玮</v>
      </c>
      <c r="F2471" s="7" t="str">
        <f t="shared" si="596"/>
        <v>女</v>
      </c>
      <c r="G2471" s="7" t="s">
        <v>2071</v>
      </c>
      <c r="H2471" s="8"/>
    </row>
    <row r="2472" ht="25" customHeight="1" spans="1:8">
      <c r="A2472" s="6">
        <v>2470</v>
      </c>
      <c r="B2472" s="7" t="str">
        <f t="shared" si="587"/>
        <v>105</v>
      </c>
      <c r="C2472" s="7" t="s">
        <v>2002</v>
      </c>
      <c r="D2472" s="7" t="s">
        <v>2003</v>
      </c>
      <c r="E2472" s="7" t="str">
        <f>"张培辉"</f>
        <v>张培辉</v>
      </c>
      <c r="F2472" s="7" t="str">
        <f t="shared" si="595"/>
        <v>男</v>
      </c>
      <c r="G2472" s="7" t="s">
        <v>2072</v>
      </c>
      <c r="H2472" s="8"/>
    </row>
    <row r="2473" ht="25" customHeight="1" spans="1:8">
      <c r="A2473" s="6">
        <v>2471</v>
      </c>
      <c r="B2473" s="7" t="str">
        <f t="shared" si="587"/>
        <v>105</v>
      </c>
      <c r="C2473" s="7" t="s">
        <v>2002</v>
      </c>
      <c r="D2473" s="7" t="s">
        <v>2003</v>
      </c>
      <c r="E2473" s="7" t="str">
        <f>"姜园园"</f>
        <v>姜园园</v>
      </c>
      <c r="F2473" s="7" t="str">
        <f t="shared" ref="F2473:F2477" si="597">"女"</f>
        <v>女</v>
      </c>
      <c r="G2473" s="7" t="s">
        <v>2073</v>
      </c>
      <c r="H2473" s="8"/>
    </row>
    <row r="2474" ht="25" customHeight="1" spans="1:8">
      <c r="A2474" s="6">
        <v>2472</v>
      </c>
      <c r="B2474" s="7" t="str">
        <f t="shared" si="587"/>
        <v>105</v>
      </c>
      <c r="C2474" s="7" t="s">
        <v>2002</v>
      </c>
      <c r="D2474" s="7" t="s">
        <v>2003</v>
      </c>
      <c r="E2474" s="7" t="str">
        <f>"陈宝怡"</f>
        <v>陈宝怡</v>
      </c>
      <c r="F2474" s="7" t="str">
        <f t="shared" si="597"/>
        <v>女</v>
      </c>
      <c r="G2474" s="7" t="s">
        <v>902</v>
      </c>
      <c r="H2474" s="8"/>
    </row>
    <row r="2475" ht="25" customHeight="1" spans="1:8">
      <c r="A2475" s="6">
        <v>2473</v>
      </c>
      <c r="B2475" s="7" t="str">
        <f t="shared" si="587"/>
        <v>105</v>
      </c>
      <c r="C2475" s="7" t="s">
        <v>2002</v>
      </c>
      <c r="D2475" s="7" t="s">
        <v>2003</v>
      </c>
      <c r="E2475" s="7" t="str">
        <f>"林国欣"</f>
        <v>林国欣</v>
      </c>
      <c r="F2475" s="7" t="str">
        <f t="shared" ref="F2475:F2480" si="598">"男"</f>
        <v>男</v>
      </c>
      <c r="G2475" s="7" t="s">
        <v>15</v>
      </c>
      <c r="H2475" s="8"/>
    </row>
    <row r="2476" ht="25" customHeight="1" spans="1:8">
      <c r="A2476" s="6">
        <v>2474</v>
      </c>
      <c r="B2476" s="7" t="str">
        <f t="shared" si="587"/>
        <v>105</v>
      </c>
      <c r="C2476" s="7" t="s">
        <v>2002</v>
      </c>
      <c r="D2476" s="7" t="s">
        <v>2003</v>
      </c>
      <c r="E2476" s="7" t="str">
        <f>"黄思雨"</f>
        <v>黄思雨</v>
      </c>
      <c r="F2476" s="7" t="str">
        <f t="shared" si="597"/>
        <v>女</v>
      </c>
      <c r="G2476" s="7" t="s">
        <v>2074</v>
      </c>
      <c r="H2476" s="8"/>
    </row>
    <row r="2477" ht="25" customHeight="1" spans="1:8">
      <c r="A2477" s="6">
        <v>2475</v>
      </c>
      <c r="B2477" s="7" t="str">
        <f t="shared" si="587"/>
        <v>105</v>
      </c>
      <c r="C2477" s="7" t="s">
        <v>2002</v>
      </c>
      <c r="D2477" s="7" t="s">
        <v>2003</v>
      </c>
      <c r="E2477" s="7" t="str">
        <f>"洪才英"</f>
        <v>洪才英</v>
      </c>
      <c r="F2477" s="7" t="str">
        <f t="shared" si="597"/>
        <v>女</v>
      </c>
      <c r="G2477" s="7" t="s">
        <v>2075</v>
      </c>
      <c r="H2477" s="8"/>
    </row>
    <row r="2478" ht="25" customHeight="1" spans="1:8">
      <c r="A2478" s="6">
        <v>2476</v>
      </c>
      <c r="B2478" s="7" t="str">
        <f t="shared" si="587"/>
        <v>105</v>
      </c>
      <c r="C2478" s="7" t="s">
        <v>2002</v>
      </c>
      <c r="D2478" s="7" t="s">
        <v>2003</v>
      </c>
      <c r="E2478" s="7" t="str">
        <f>"梁晓文"</f>
        <v>梁晓文</v>
      </c>
      <c r="F2478" s="7" t="str">
        <f t="shared" si="598"/>
        <v>男</v>
      </c>
      <c r="G2478" s="7" t="s">
        <v>2076</v>
      </c>
      <c r="H2478" s="8"/>
    </row>
    <row r="2479" ht="25" customHeight="1" spans="1:8">
      <c r="A2479" s="6">
        <v>2477</v>
      </c>
      <c r="B2479" s="7" t="str">
        <f t="shared" si="587"/>
        <v>105</v>
      </c>
      <c r="C2479" s="7" t="s">
        <v>2002</v>
      </c>
      <c r="D2479" s="7" t="s">
        <v>2003</v>
      </c>
      <c r="E2479" s="7" t="str">
        <f>"庾晓恬"</f>
        <v>庾晓恬</v>
      </c>
      <c r="F2479" s="7" t="str">
        <f t="shared" ref="F2479:F2482" si="599">"女"</f>
        <v>女</v>
      </c>
      <c r="G2479" s="7" t="s">
        <v>2077</v>
      </c>
      <c r="H2479" s="8"/>
    </row>
    <row r="2480" ht="25" customHeight="1" spans="1:8">
      <c r="A2480" s="6">
        <v>2478</v>
      </c>
      <c r="B2480" s="7" t="str">
        <f t="shared" si="587"/>
        <v>105</v>
      </c>
      <c r="C2480" s="7" t="s">
        <v>2002</v>
      </c>
      <c r="D2480" s="7" t="s">
        <v>2003</v>
      </c>
      <c r="E2480" s="7" t="str">
        <f>"许振麟"</f>
        <v>许振麟</v>
      </c>
      <c r="F2480" s="7" t="str">
        <f t="shared" si="598"/>
        <v>男</v>
      </c>
      <c r="G2480" s="7" t="s">
        <v>862</v>
      </c>
      <c r="H2480" s="8"/>
    </row>
    <row r="2481" ht="25" customHeight="1" spans="1:8">
      <c r="A2481" s="6">
        <v>2479</v>
      </c>
      <c r="B2481" s="7" t="str">
        <f t="shared" si="587"/>
        <v>105</v>
      </c>
      <c r="C2481" s="7" t="s">
        <v>2002</v>
      </c>
      <c r="D2481" s="7" t="s">
        <v>2003</v>
      </c>
      <c r="E2481" s="7" t="str">
        <f>"郝晓敏"</f>
        <v>郝晓敏</v>
      </c>
      <c r="F2481" s="7" t="str">
        <f t="shared" si="599"/>
        <v>女</v>
      </c>
      <c r="G2481" s="7" t="s">
        <v>2078</v>
      </c>
      <c r="H2481" s="8"/>
    </row>
    <row r="2482" ht="25" customHeight="1" spans="1:8">
      <c r="A2482" s="6">
        <v>2480</v>
      </c>
      <c r="B2482" s="7" t="str">
        <f t="shared" si="587"/>
        <v>105</v>
      </c>
      <c r="C2482" s="7" t="s">
        <v>2002</v>
      </c>
      <c r="D2482" s="7" t="s">
        <v>2003</v>
      </c>
      <c r="E2482" s="7" t="str">
        <f>"郭素平"</f>
        <v>郭素平</v>
      </c>
      <c r="F2482" s="7" t="str">
        <f t="shared" si="599"/>
        <v>女</v>
      </c>
      <c r="G2482" s="7" t="s">
        <v>2079</v>
      </c>
      <c r="H2482" s="8"/>
    </row>
    <row r="2483" ht="25" customHeight="1" spans="1:8">
      <c r="A2483" s="6">
        <v>2481</v>
      </c>
      <c r="B2483" s="7" t="str">
        <f t="shared" si="587"/>
        <v>105</v>
      </c>
      <c r="C2483" s="7" t="s">
        <v>2002</v>
      </c>
      <c r="D2483" s="7" t="s">
        <v>2003</v>
      </c>
      <c r="E2483" s="7" t="str">
        <f>"许丛卓"</f>
        <v>许丛卓</v>
      </c>
      <c r="F2483" s="7" t="str">
        <f t="shared" ref="F2483:F2486" si="600">"男"</f>
        <v>男</v>
      </c>
      <c r="G2483" s="7" t="s">
        <v>2080</v>
      </c>
      <c r="H2483" s="8"/>
    </row>
    <row r="2484" ht="25" customHeight="1" spans="1:8">
      <c r="A2484" s="6">
        <v>2482</v>
      </c>
      <c r="B2484" s="7" t="str">
        <f t="shared" si="587"/>
        <v>105</v>
      </c>
      <c r="C2484" s="7" t="s">
        <v>2002</v>
      </c>
      <c r="D2484" s="7" t="s">
        <v>2003</v>
      </c>
      <c r="E2484" s="7" t="str">
        <f>"贾婷婷"</f>
        <v>贾婷婷</v>
      </c>
      <c r="F2484" s="7" t="str">
        <f t="shared" ref="F2484:F2489" si="601">"女"</f>
        <v>女</v>
      </c>
      <c r="G2484" s="7" t="s">
        <v>2081</v>
      </c>
      <c r="H2484" s="8"/>
    </row>
    <row r="2485" ht="25" customHeight="1" spans="1:8">
      <c r="A2485" s="6">
        <v>2483</v>
      </c>
      <c r="B2485" s="7" t="str">
        <f t="shared" si="587"/>
        <v>105</v>
      </c>
      <c r="C2485" s="7" t="s">
        <v>2002</v>
      </c>
      <c r="D2485" s="7" t="s">
        <v>2003</v>
      </c>
      <c r="E2485" s="7" t="str">
        <f>"李瑞"</f>
        <v>李瑞</v>
      </c>
      <c r="F2485" s="7" t="str">
        <f t="shared" si="600"/>
        <v>男</v>
      </c>
      <c r="G2485" s="7" t="s">
        <v>2082</v>
      </c>
      <c r="H2485" s="8"/>
    </row>
    <row r="2486" ht="25" customHeight="1" spans="1:8">
      <c r="A2486" s="6">
        <v>2484</v>
      </c>
      <c r="B2486" s="7" t="str">
        <f t="shared" si="587"/>
        <v>105</v>
      </c>
      <c r="C2486" s="7" t="s">
        <v>2002</v>
      </c>
      <c r="D2486" s="7" t="s">
        <v>2003</v>
      </c>
      <c r="E2486" s="7" t="str">
        <f>"杨明杰"</f>
        <v>杨明杰</v>
      </c>
      <c r="F2486" s="7" t="str">
        <f t="shared" si="600"/>
        <v>男</v>
      </c>
      <c r="G2486" s="7" t="s">
        <v>2083</v>
      </c>
      <c r="H2486" s="8"/>
    </row>
    <row r="2487" ht="25" customHeight="1" spans="1:8">
      <c r="A2487" s="6">
        <v>2485</v>
      </c>
      <c r="B2487" s="7" t="str">
        <f t="shared" si="587"/>
        <v>105</v>
      </c>
      <c r="C2487" s="7" t="s">
        <v>2002</v>
      </c>
      <c r="D2487" s="7" t="s">
        <v>2003</v>
      </c>
      <c r="E2487" s="7" t="str">
        <f>"林可"</f>
        <v>林可</v>
      </c>
      <c r="F2487" s="7" t="str">
        <f t="shared" si="601"/>
        <v>女</v>
      </c>
      <c r="G2487" s="7" t="s">
        <v>2084</v>
      </c>
      <c r="H2487" s="8"/>
    </row>
    <row r="2488" ht="25" customHeight="1" spans="1:8">
      <c r="A2488" s="6">
        <v>2486</v>
      </c>
      <c r="B2488" s="7" t="str">
        <f t="shared" si="587"/>
        <v>105</v>
      </c>
      <c r="C2488" s="7" t="s">
        <v>2002</v>
      </c>
      <c r="D2488" s="7" t="s">
        <v>2003</v>
      </c>
      <c r="E2488" s="7" t="str">
        <f>"林方定"</f>
        <v>林方定</v>
      </c>
      <c r="F2488" s="7" t="str">
        <f t="shared" ref="F2488:F2491" si="602">"男"</f>
        <v>男</v>
      </c>
      <c r="G2488" s="7" t="s">
        <v>2085</v>
      </c>
      <c r="H2488" s="8"/>
    </row>
    <row r="2489" ht="25" customHeight="1" spans="1:8">
      <c r="A2489" s="6">
        <v>2487</v>
      </c>
      <c r="B2489" s="7" t="str">
        <f t="shared" si="587"/>
        <v>105</v>
      </c>
      <c r="C2489" s="7" t="s">
        <v>2002</v>
      </c>
      <c r="D2489" s="7" t="s">
        <v>2003</v>
      </c>
      <c r="E2489" s="7" t="str">
        <f>"高瑾"</f>
        <v>高瑾</v>
      </c>
      <c r="F2489" s="7" t="str">
        <f t="shared" si="601"/>
        <v>女</v>
      </c>
      <c r="G2489" s="7" t="s">
        <v>2086</v>
      </c>
      <c r="H2489" s="8"/>
    </row>
    <row r="2490" ht="25" customHeight="1" spans="1:8">
      <c r="A2490" s="6">
        <v>2488</v>
      </c>
      <c r="B2490" s="7" t="str">
        <f t="shared" si="587"/>
        <v>105</v>
      </c>
      <c r="C2490" s="7" t="s">
        <v>2002</v>
      </c>
      <c r="D2490" s="7" t="s">
        <v>2003</v>
      </c>
      <c r="E2490" s="7" t="str">
        <f>"宋俊宏"</f>
        <v>宋俊宏</v>
      </c>
      <c r="F2490" s="7" t="str">
        <f t="shared" si="602"/>
        <v>男</v>
      </c>
      <c r="G2490" s="7" t="s">
        <v>865</v>
      </c>
      <c r="H2490" s="8"/>
    </row>
    <row r="2491" ht="25" customHeight="1" spans="1:8">
      <c r="A2491" s="6">
        <v>2489</v>
      </c>
      <c r="B2491" s="7" t="str">
        <f t="shared" si="587"/>
        <v>105</v>
      </c>
      <c r="C2491" s="7" t="s">
        <v>2002</v>
      </c>
      <c r="D2491" s="7" t="s">
        <v>2003</v>
      </c>
      <c r="E2491" s="7" t="str">
        <f>"穆鑫雨"</f>
        <v>穆鑫雨</v>
      </c>
      <c r="F2491" s="7" t="str">
        <f t="shared" si="602"/>
        <v>男</v>
      </c>
      <c r="G2491" s="7" t="s">
        <v>2087</v>
      </c>
      <c r="H2491" s="8"/>
    </row>
    <row r="2492" ht="25" customHeight="1" spans="1:8">
      <c r="A2492" s="6">
        <v>2490</v>
      </c>
      <c r="B2492" s="7" t="str">
        <f t="shared" si="587"/>
        <v>105</v>
      </c>
      <c r="C2492" s="7" t="s">
        <v>2002</v>
      </c>
      <c r="D2492" s="7" t="s">
        <v>2003</v>
      </c>
      <c r="E2492" s="7" t="str">
        <f>"李丽"</f>
        <v>李丽</v>
      </c>
      <c r="F2492" s="7" t="str">
        <f t="shared" ref="F2492:F2495" si="603">"女"</f>
        <v>女</v>
      </c>
      <c r="G2492" s="7" t="s">
        <v>2088</v>
      </c>
      <c r="H2492" s="8"/>
    </row>
    <row r="2493" ht="25" customHeight="1" spans="1:8">
      <c r="A2493" s="6">
        <v>2491</v>
      </c>
      <c r="B2493" s="7" t="str">
        <f t="shared" si="587"/>
        <v>105</v>
      </c>
      <c r="C2493" s="7" t="s">
        <v>2002</v>
      </c>
      <c r="D2493" s="7" t="s">
        <v>2003</v>
      </c>
      <c r="E2493" s="7" t="str">
        <f>"周颖"</f>
        <v>周颖</v>
      </c>
      <c r="F2493" s="7" t="str">
        <f t="shared" si="603"/>
        <v>女</v>
      </c>
      <c r="G2493" s="7" t="s">
        <v>2089</v>
      </c>
      <c r="H2493" s="8"/>
    </row>
    <row r="2494" ht="25" customHeight="1" spans="1:8">
      <c r="A2494" s="6">
        <v>2492</v>
      </c>
      <c r="B2494" s="7" t="str">
        <f t="shared" si="587"/>
        <v>105</v>
      </c>
      <c r="C2494" s="7" t="s">
        <v>2002</v>
      </c>
      <c r="D2494" s="7" t="s">
        <v>2003</v>
      </c>
      <c r="E2494" s="7" t="str">
        <f>"叶裕国"</f>
        <v>叶裕国</v>
      </c>
      <c r="F2494" s="7" t="str">
        <f t="shared" ref="F2494:F2498" si="604">"男"</f>
        <v>男</v>
      </c>
      <c r="G2494" s="7" t="s">
        <v>2090</v>
      </c>
      <c r="H2494" s="8"/>
    </row>
    <row r="2495" ht="25" customHeight="1" spans="1:8">
      <c r="A2495" s="6">
        <v>2493</v>
      </c>
      <c r="B2495" s="7" t="str">
        <f t="shared" si="587"/>
        <v>105</v>
      </c>
      <c r="C2495" s="7" t="s">
        <v>2002</v>
      </c>
      <c r="D2495" s="7" t="s">
        <v>2003</v>
      </c>
      <c r="E2495" s="7" t="str">
        <f>"刘艳芳"</f>
        <v>刘艳芳</v>
      </c>
      <c r="F2495" s="7" t="str">
        <f t="shared" si="603"/>
        <v>女</v>
      </c>
      <c r="G2495" s="7" t="s">
        <v>2091</v>
      </c>
      <c r="H2495" s="8"/>
    </row>
    <row r="2496" ht="25" customHeight="1" spans="1:8">
      <c r="A2496" s="6">
        <v>2494</v>
      </c>
      <c r="B2496" s="7" t="str">
        <f t="shared" si="587"/>
        <v>105</v>
      </c>
      <c r="C2496" s="7" t="s">
        <v>2002</v>
      </c>
      <c r="D2496" s="7" t="s">
        <v>2003</v>
      </c>
      <c r="E2496" s="7" t="str">
        <f>"王钢"</f>
        <v>王钢</v>
      </c>
      <c r="F2496" s="7" t="str">
        <f t="shared" si="604"/>
        <v>男</v>
      </c>
      <c r="G2496" s="7" t="s">
        <v>766</v>
      </c>
      <c r="H2496" s="8"/>
    </row>
    <row r="2497" ht="25" customHeight="1" spans="1:8">
      <c r="A2497" s="6">
        <v>2495</v>
      </c>
      <c r="B2497" s="7" t="str">
        <f t="shared" si="587"/>
        <v>105</v>
      </c>
      <c r="C2497" s="7" t="s">
        <v>2002</v>
      </c>
      <c r="D2497" s="7" t="s">
        <v>2003</v>
      </c>
      <c r="E2497" s="7" t="str">
        <f>"王丽雯"</f>
        <v>王丽雯</v>
      </c>
      <c r="F2497" s="7" t="str">
        <f t="shared" ref="F2497:F2500" si="605">"女"</f>
        <v>女</v>
      </c>
      <c r="G2497" s="7" t="s">
        <v>660</v>
      </c>
      <c r="H2497" s="8"/>
    </row>
    <row r="2498" ht="25" customHeight="1" spans="1:8">
      <c r="A2498" s="6">
        <v>2496</v>
      </c>
      <c r="B2498" s="7" t="str">
        <f t="shared" si="587"/>
        <v>105</v>
      </c>
      <c r="C2498" s="7" t="s">
        <v>2002</v>
      </c>
      <c r="D2498" s="7" t="s">
        <v>2003</v>
      </c>
      <c r="E2498" s="7" t="str">
        <f>"陈传浒"</f>
        <v>陈传浒</v>
      </c>
      <c r="F2498" s="7" t="str">
        <f t="shared" si="604"/>
        <v>男</v>
      </c>
      <c r="G2498" s="7" t="s">
        <v>1389</v>
      </c>
      <c r="H2498" s="8"/>
    </row>
    <row r="2499" ht="25" customHeight="1" spans="1:8">
      <c r="A2499" s="6">
        <v>2497</v>
      </c>
      <c r="B2499" s="7" t="str">
        <f t="shared" si="587"/>
        <v>105</v>
      </c>
      <c r="C2499" s="7" t="s">
        <v>2002</v>
      </c>
      <c r="D2499" s="7" t="s">
        <v>2003</v>
      </c>
      <c r="E2499" s="7" t="str">
        <f>"钱丽波"</f>
        <v>钱丽波</v>
      </c>
      <c r="F2499" s="7" t="str">
        <f t="shared" si="605"/>
        <v>女</v>
      </c>
      <c r="G2499" s="7" t="s">
        <v>1170</v>
      </c>
      <c r="H2499" s="8"/>
    </row>
    <row r="2500" ht="25" customHeight="1" spans="1:8">
      <c r="A2500" s="6">
        <v>2498</v>
      </c>
      <c r="B2500" s="7" t="str">
        <f t="shared" ref="B2500:B2563" si="606">"105"</f>
        <v>105</v>
      </c>
      <c r="C2500" s="7" t="s">
        <v>2002</v>
      </c>
      <c r="D2500" s="7" t="s">
        <v>2003</v>
      </c>
      <c r="E2500" s="7" t="str">
        <f>"梅珊"</f>
        <v>梅珊</v>
      </c>
      <c r="F2500" s="7" t="str">
        <f t="shared" si="605"/>
        <v>女</v>
      </c>
      <c r="G2500" s="7" t="s">
        <v>2092</v>
      </c>
      <c r="H2500" s="8"/>
    </row>
    <row r="2501" ht="25" customHeight="1" spans="1:8">
      <c r="A2501" s="6">
        <v>2499</v>
      </c>
      <c r="B2501" s="7" t="str">
        <f t="shared" si="606"/>
        <v>105</v>
      </c>
      <c r="C2501" s="7" t="s">
        <v>2002</v>
      </c>
      <c r="D2501" s="7" t="s">
        <v>2003</v>
      </c>
      <c r="E2501" s="7" t="str">
        <f>"胡振儒"</f>
        <v>胡振儒</v>
      </c>
      <c r="F2501" s="7" t="str">
        <f>"男"</f>
        <v>男</v>
      </c>
      <c r="G2501" s="7" t="s">
        <v>2093</v>
      </c>
      <c r="H2501" s="8"/>
    </row>
    <row r="2502" ht="25" customHeight="1" spans="1:8">
      <c r="A2502" s="6">
        <v>2500</v>
      </c>
      <c r="B2502" s="7" t="str">
        <f t="shared" si="606"/>
        <v>105</v>
      </c>
      <c r="C2502" s="7" t="s">
        <v>2002</v>
      </c>
      <c r="D2502" s="7" t="s">
        <v>2003</v>
      </c>
      <c r="E2502" s="7" t="str">
        <f>"许烨"</f>
        <v>许烨</v>
      </c>
      <c r="F2502" s="7" t="str">
        <f t="shared" ref="F2502:F2506" si="607">"女"</f>
        <v>女</v>
      </c>
      <c r="G2502" s="7" t="s">
        <v>2094</v>
      </c>
      <c r="H2502" s="8"/>
    </row>
    <row r="2503" ht="25" customHeight="1" spans="1:8">
      <c r="A2503" s="6">
        <v>2501</v>
      </c>
      <c r="B2503" s="7" t="str">
        <f t="shared" si="606"/>
        <v>105</v>
      </c>
      <c r="C2503" s="7" t="s">
        <v>2002</v>
      </c>
      <c r="D2503" s="7" t="s">
        <v>2003</v>
      </c>
      <c r="E2503" s="7" t="str">
        <f>"石丁蓉"</f>
        <v>石丁蓉</v>
      </c>
      <c r="F2503" s="7" t="str">
        <f t="shared" si="607"/>
        <v>女</v>
      </c>
      <c r="G2503" s="7" t="s">
        <v>396</v>
      </c>
      <c r="H2503" s="8"/>
    </row>
    <row r="2504" ht="25" customHeight="1" spans="1:8">
      <c r="A2504" s="6">
        <v>2502</v>
      </c>
      <c r="B2504" s="7" t="str">
        <f t="shared" si="606"/>
        <v>105</v>
      </c>
      <c r="C2504" s="7" t="s">
        <v>2002</v>
      </c>
      <c r="D2504" s="7" t="s">
        <v>2003</v>
      </c>
      <c r="E2504" s="7" t="str">
        <f>"郑微娴"</f>
        <v>郑微娴</v>
      </c>
      <c r="F2504" s="7" t="str">
        <f t="shared" si="607"/>
        <v>女</v>
      </c>
      <c r="G2504" s="7" t="s">
        <v>248</v>
      </c>
      <c r="H2504" s="8"/>
    </row>
    <row r="2505" ht="25" customHeight="1" spans="1:8">
      <c r="A2505" s="6">
        <v>2503</v>
      </c>
      <c r="B2505" s="7" t="str">
        <f t="shared" si="606"/>
        <v>105</v>
      </c>
      <c r="C2505" s="7" t="s">
        <v>2002</v>
      </c>
      <c r="D2505" s="7" t="s">
        <v>2003</v>
      </c>
      <c r="E2505" s="7" t="str">
        <f>"蔡颖"</f>
        <v>蔡颖</v>
      </c>
      <c r="F2505" s="7" t="str">
        <f t="shared" si="607"/>
        <v>女</v>
      </c>
      <c r="G2505" s="7" t="s">
        <v>246</v>
      </c>
      <c r="H2505" s="8"/>
    </row>
    <row r="2506" ht="25" customHeight="1" spans="1:8">
      <c r="A2506" s="6">
        <v>2504</v>
      </c>
      <c r="B2506" s="7" t="str">
        <f t="shared" si="606"/>
        <v>105</v>
      </c>
      <c r="C2506" s="7" t="s">
        <v>2002</v>
      </c>
      <c r="D2506" s="7" t="s">
        <v>2003</v>
      </c>
      <c r="E2506" s="7" t="str">
        <f>"王芳"</f>
        <v>王芳</v>
      </c>
      <c r="F2506" s="7" t="str">
        <f t="shared" si="607"/>
        <v>女</v>
      </c>
      <c r="G2506" s="7" t="s">
        <v>2095</v>
      </c>
      <c r="H2506" s="8"/>
    </row>
    <row r="2507" ht="25" customHeight="1" spans="1:8">
      <c r="A2507" s="6">
        <v>2505</v>
      </c>
      <c r="B2507" s="7" t="str">
        <f t="shared" si="606"/>
        <v>105</v>
      </c>
      <c r="C2507" s="7" t="s">
        <v>2002</v>
      </c>
      <c r="D2507" s="7" t="s">
        <v>2003</v>
      </c>
      <c r="E2507" s="7" t="str">
        <f>"张彪"</f>
        <v>张彪</v>
      </c>
      <c r="F2507" s="7" t="str">
        <f t="shared" ref="F2507:F2513" si="608">"男"</f>
        <v>男</v>
      </c>
      <c r="G2507" s="7" t="s">
        <v>2096</v>
      </c>
      <c r="H2507" s="8"/>
    </row>
    <row r="2508" ht="25" customHeight="1" spans="1:8">
      <c r="A2508" s="6">
        <v>2506</v>
      </c>
      <c r="B2508" s="7" t="str">
        <f t="shared" si="606"/>
        <v>105</v>
      </c>
      <c r="C2508" s="7" t="s">
        <v>2002</v>
      </c>
      <c r="D2508" s="7" t="s">
        <v>2003</v>
      </c>
      <c r="E2508" s="7" t="str">
        <f>"陈崇斌"</f>
        <v>陈崇斌</v>
      </c>
      <c r="F2508" s="7" t="str">
        <f t="shared" si="608"/>
        <v>男</v>
      </c>
      <c r="G2508" s="7" t="s">
        <v>928</v>
      </c>
      <c r="H2508" s="8"/>
    </row>
    <row r="2509" ht="25" customHeight="1" spans="1:8">
      <c r="A2509" s="6">
        <v>2507</v>
      </c>
      <c r="B2509" s="7" t="str">
        <f t="shared" si="606"/>
        <v>105</v>
      </c>
      <c r="C2509" s="7" t="s">
        <v>2002</v>
      </c>
      <c r="D2509" s="7" t="s">
        <v>2003</v>
      </c>
      <c r="E2509" s="7" t="str">
        <f>"韩梦茜"</f>
        <v>韩梦茜</v>
      </c>
      <c r="F2509" s="7" t="str">
        <f t="shared" ref="F2509:F2511" si="609">"女"</f>
        <v>女</v>
      </c>
      <c r="G2509" s="7" t="s">
        <v>2097</v>
      </c>
      <c r="H2509" s="8"/>
    </row>
    <row r="2510" ht="25" customHeight="1" spans="1:8">
      <c r="A2510" s="6">
        <v>2508</v>
      </c>
      <c r="B2510" s="7" t="str">
        <f t="shared" si="606"/>
        <v>105</v>
      </c>
      <c r="C2510" s="7" t="s">
        <v>2002</v>
      </c>
      <c r="D2510" s="7" t="s">
        <v>2003</v>
      </c>
      <c r="E2510" s="7" t="str">
        <f>"刘小叶"</f>
        <v>刘小叶</v>
      </c>
      <c r="F2510" s="7" t="str">
        <f t="shared" si="609"/>
        <v>女</v>
      </c>
      <c r="G2510" s="7" t="s">
        <v>229</v>
      </c>
      <c r="H2510" s="8"/>
    </row>
    <row r="2511" ht="25" customHeight="1" spans="1:8">
      <c r="A2511" s="6">
        <v>2509</v>
      </c>
      <c r="B2511" s="7" t="str">
        <f t="shared" si="606"/>
        <v>105</v>
      </c>
      <c r="C2511" s="7" t="s">
        <v>2002</v>
      </c>
      <c r="D2511" s="7" t="s">
        <v>2003</v>
      </c>
      <c r="E2511" s="7" t="str">
        <f>"陈春菊"</f>
        <v>陈春菊</v>
      </c>
      <c r="F2511" s="7" t="str">
        <f t="shared" si="609"/>
        <v>女</v>
      </c>
      <c r="G2511" s="7" t="s">
        <v>2098</v>
      </c>
      <c r="H2511" s="8"/>
    </row>
    <row r="2512" ht="25" customHeight="1" spans="1:8">
      <c r="A2512" s="6">
        <v>2510</v>
      </c>
      <c r="B2512" s="7" t="str">
        <f t="shared" si="606"/>
        <v>105</v>
      </c>
      <c r="C2512" s="7" t="s">
        <v>2002</v>
      </c>
      <c r="D2512" s="7" t="s">
        <v>2003</v>
      </c>
      <c r="E2512" s="7" t="str">
        <f>"李健"</f>
        <v>李健</v>
      </c>
      <c r="F2512" s="7" t="str">
        <f t="shared" si="608"/>
        <v>男</v>
      </c>
      <c r="G2512" s="7" t="s">
        <v>2099</v>
      </c>
      <c r="H2512" s="8"/>
    </row>
    <row r="2513" ht="25" customHeight="1" spans="1:8">
      <c r="A2513" s="6">
        <v>2511</v>
      </c>
      <c r="B2513" s="7" t="str">
        <f t="shared" si="606"/>
        <v>105</v>
      </c>
      <c r="C2513" s="7" t="s">
        <v>2002</v>
      </c>
      <c r="D2513" s="7" t="s">
        <v>2003</v>
      </c>
      <c r="E2513" s="7" t="str">
        <f>"杨颖"</f>
        <v>杨颖</v>
      </c>
      <c r="F2513" s="7" t="str">
        <f t="shared" si="608"/>
        <v>男</v>
      </c>
      <c r="G2513" s="7" t="s">
        <v>2100</v>
      </c>
      <c r="H2513" s="8"/>
    </row>
    <row r="2514" ht="25" customHeight="1" spans="1:8">
      <c r="A2514" s="6">
        <v>2512</v>
      </c>
      <c r="B2514" s="7" t="str">
        <f t="shared" si="606"/>
        <v>105</v>
      </c>
      <c r="C2514" s="7" t="s">
        <v>2002</v>
      </c>
      <c r="D2514" s="7" t="s">
        <v>2003</v>
      </c>
      <c r="E2514" s="7" t="str">
        <f>"林小玉"</f>
        <v>林小玉</v>
      </c>
      <c r="F2514" s="7" t="str">
        <f t="shared" ref="F2514:F2520" si="610">"女"</f>
        <v>女</v>
      </c>
      <c r="G2514" s="7" t="s">
        <v>2101</v>
      </c>
      <c r="H2514" s="8"/>
    </row>
    <row r="2515" ht="25" customHeight="1" spans="1:8">
      <c r="A2515" s="6">
        <v>2513</v>
      </c>
      <c r="B2515" s="7" t="str">
        <f t="shared" si="606"/>
        <v>105</v>
      </c>
      <c r="C2515" s="7" t="s">
        <v>2002</v>
      </c>
      <c r="D2515" s="7" t="s">
        <v>2003</v>
      </c>
      <c r="E2515" s="7" t="str">
        <f>"郑梦平"</f>
        <v>郑梦平</v>
      </c>
      <c r="F2515" s="7" t="str">
        <f>"男"</f>
        <v>男</v>
      </c>
      <c r="G2515" s="7" t="s">
        <v>2102</v>
      </c>
      <c r="H2515" s="8"/>
    </row>
    <row r="2516" ht="25" customHeight="1" spans="1:8">
      <c r="A2516" s="6">
        <v>2514</v>
      </c>
      <c r="B2516" s="7" t="str">
        <f t="shared" si="606"/>
        <v>105</v>
      </c>
      <c r="C2516" s="7" t="s">
        <v>2002</v>
      </c>
      <c r="D2516" s="7" t="s">
        <v>2003</v>
      </c>
      <c r="E2516" s="7" t="str">
        <f>"朱芷雯"</f>
        <v>朱芷雯</v>
      </c>
      <c r="F2516" s="7" t="str">
        <f t="shared" si="610"/>
        <v>女</v>
      </c>
      <c r="G2516" s="7" t="s">
        <v>2103</v>
      </c>
      <c r="H2516" s="8"/>
    </row>
    <row r="2517" ht="25" customHeight="1" spans="1:8">
      <c r="A2517" s="6">
        <v>2515</v>
      </c>
      <c r="B2517" s="7" t="str">
        <f t="shared" si="606"/>
        <v>105</v>
      </c>
      <c r="C2517" s="7" t="s">
        <v>2002</v>
      </c>
      <c r="D2517" s="7" t="s">
        <v>2003</v>
      </c>
      <c r="E2517" s="7" t="str">
        <f>"王涵"</f>
        <v>王涵</v>
      </c>
      <c r="F2517" s="7" t="str">
        <f t="shared" si="610"/>
        <v>女</v>
      </c>
      <c r="G2517" s="7" t="s">
        <v>1731</v>
      </c>
      <c r="H2517" s="8"/>
    </row>
    <row r="2518" ht="25" customHeight="1" spans="1:8">
      <c r="A2518" s="6">
        <v>2516</v>
      </c>
      <c r="B2518" s="7" t="str">
        <f t="shared" si="606"/>
        <v>105</v>
      </c>
      <c r="C2518" s="7" t="s">
        <v>2002</v>
      </c>
      <c r="D2518" s="7" t="s">
        <v>2003</v>
      </c>
      <c r="E2518" s="7" t="str">
        <f>"唐青芳"</f>
        <v>唐青芳</v>
      </c>
      <c r="F2518" s="7" t="str">
        <f t="shared" si="610"/>
        <v>女</v>
      </c>
      <c r="G2518" s="7" t="s">
        <v>1622</v>
      </c>
      <c r="H2518" s="8"/>
    </row>
    <row r="2519" ht="25" customHeight="1" spans="1:8">
      <c r="A2519" s="6">
        <v>2517</v>
      </c>
      <c r="B2519" s="7" t="str">
        <f t="shared" si="606"/>
        <v>105</v>
      </c>
      <c r="C2519" s="7" t="s">
        <v>2002</v>
      </c>
      <c r="D2519" s="7" t="s">
        <v>2003</v>
      </c>
      <c r="E2519" s="7" t="str">
        <f>"罗汝姿"</f>
        <v>罗汝姿</v>
      </c>
      <c r="F2519" s="7" t="str">
        <f t="shared" si="610"/>
        <v>女</v>
      </c>
      <c r="G2519" s="7" t="s">
        <v>2104</v>
      </c>
      <c r="H2519" s="8"/>
    </row>
    <row r="2520" ht="25" customHeight="1" spans="1:8">
      <c r="A2520" s="6">
        <v>2518</v>
      </c>
      <c r="B2520" s="7" t="str">
        <f t="shared" si="606"/>
        <v>105</v>
      </c>
      <c r="C2520" s="7" t="s">
        <v>2002</v>
      </c>
      <c r="D2520" s="7" t="s">
        <v>2003</v>
      </c>
      <c r="E2520" s="7" t="str">
        <f>"陈卓立"</f>
        <v>陈卓立</v>
      </c>
      <c r="F2520" s="7" t="str">
        <f t="shared" si="610"/>
        <v>女</v>
      </c>
      <c r="G2520" s="7" t="s">
        <v>2105</v>
      </c>
      <c r="H2520" s="8"/>
    </row>
    <row r="2521" ht="25" customHeight="1" spans="1:8">
      <c r="A2521" s="6">
        <v>2519</v>
      </c>
      <c r="B2521" s="7" t="str">
        <f t="shared" si="606"/>
        <v>105</v>
      </c>
      <c r="C2521" s="7" t="s">
        <v>2002</v>
      </c>
      <c r="D2521" s="7" t="s">
        <v>2003</v>
      </c>
      <c r="E2521" s="7" t="str">
        <f>"曾磊"</f>
        <v>曾磊</v>
      </c>
      <c r="F2521" s="7" t="str">
        <f t="shared" ref="F2521:F2523" si="611">"男"</f>
        <v>男</v>
      </c>
      <c r="G2521" s="7" t="s">
        <v>2106</v>
      </c>
      <c r="H2521" s="8"/>
    </row>
    <row r="2522" ht="25" customHeight="1" spans="1:8">
      <c r="A2522" s="6">
        <v>2520</v>
      </c>
      <c r="B2522" s="7" t="str">
        <f t="shared" si="606"/>
        <v>105</v>
      </c>
      <c r="C2522" s="7" t="s">
        <v>2002</v>
      </c>
      <c r="D2522" s="7" t="s">
        <v>2003</v>
      </c>
      <c r="E2522" s="7" t="str">
        <f>"王万新"</f>
        <v>王万新</v>
      </c>
      <c r="F2522" s="7" t="str">
        <f t="shared" si="611"/>
        <v>男</v>
      </c>
      <c r="G2522" s="7" t="s">
        <v>2107</v>
      </c>
      <c r="H2522" s="8"/>
    </row>
    <row r="2523" ht="25" customHeight="1" spans="1:8">
      <c r="A2523" s="6">
        <v>2521</v>
      </c>
      <c r="B2523" s="7" t="str">
        <f t="shared" si="606"/>
        <v>105</v>
      </c>
      <c r="C2523" s="7" t="s">
        <v>2002</v>
      </c>
      <c r="D2523" s="7" t="s">
        <v>2003</v>
      </c>
      <c r="E2523" s="7" t="str">
        <f>"李儒瑞"</f>
        <v>李儒瑞</v>
      </c>
      <c r="F2523" s="7" t="str">
        <f t="shared" si="611"/>
        <v>男</v>
      </c>
      <c r="G2523" s="7" t="s">
        <v>2108</v>
      </c>
      <c r="H2523" s="8"/>
    </row>
    <row r="2524" ht="25" customHeight="1" spans="1:8">
      <c r="A2524" s="6">
        <v>2522</v>
      </c>
      <c r="B2524" s="7" t="str">
        <f t="shared" si="606"/>
        <v>105</v>
      </c>
      <c r="C2524" s="7" t="s">
        <v>2002</v>
      </c>
      <c r="D2524" s="7" t="s">
        <v>2003</v>
      </c>
      <c r="E2524" s="7" t="str">
        <f>"陈星"</f>
        <v>陈星</v>
      </c>
      <c r="F2524" s="7" t="str">
        <f t="shared" ref="F2524:F2526" si="612">"女"</f>
        <v>女</v>
      </c>
      <c r="G2524" s="7" t="s">
        <v>2109</v>
      </c>
      <c r="H2524" s="8"/>
    </row>
    <row r="2525" ht="25" customHeight="1" spans="1:8">
      <c r="A2525" s="6">
        <v>2523</v>
      </c>
      <c r="B2525" s="7" t="str">
        <f t="shared" si="606"/>
        <v>105</v>
      </c>
      <c r="C2525" s="7" t="s">
        <v>2002</v>
      </c>
      <c r="D2525" s="7" t="s">
        <v>2003</v>
      </c>
      <c r="E2525" s="7" t="str">
        <f>"潘珊珊"</f>
        <v>潘珊珊</v>
      </c>
      <c r="F2525" s="7" t="str">
        <f t="shared" si="612"/>
        <v>女</v>
      </c>
      <c r="G2525" s="7" t="s">
        <v>2110</v>
      </c>
      <c r="H2525" s="8"/>
    </row>
    <row r="2526" ht="25" customHeight="1" spans="1:8">
      <c r="A2526" s="6">
        <v>2524</v>
      </c>
      <c r="B2526" s="7" t="str">
        <f t="shared" si="606"/>
        <v>105</v>
      </c>
      <c r="C2526" s="7" t="s">
        <v>2002</v>
      </c>
      <c r="D2526" s="7" t="s">
        <v>2003</v>
      </c>
      <c r="E2526" s="7" t="str">
        <f>"文贵芳"</f>
        <v>文贵芳</v>
      </c>
      <c r="F2526" s="7" t="str">
        <f t="shared" si="612"/>
        <v>女</v>
      </c>
      <c r="G2526" s="7" t="s">
        <v>2111</v>
      </c>
      <c r="H2526" s="8"/>
    </row>
    <row r="2527" ht="25" customHeight="1" spans="1:8">
      <c r="A2527" s="6">
        <v>2525</v>
      </c>
      <c r="B2527" s="7" t="str">
        <f t="shared" si="606"/>
        <v>105</v>
      </c>
      <c r="C2527" s="7" t="s">
        <v>2002</v>
      </c>
      <c r="D2527" s="7" t="s">
        <v>2003</v>
      </c>
      <c r="E2527" s="7" t="str">
        <f>"范秀恺"</f>
        <v>范秀恺</v>
      </c>
      <c r="F2527" s="7" t="str">
        <f t="shared" ref="F2527:F2530" si="613">"男"</f>
        <v>男</v>
      </c>
      <c r="G2527" s="7" t="s">
        <v>2112</v>
      </c>
      <c r="H2527" s="8"/>
    </row>
    <row r="2528" ht="25" customHeight="1" spans="1:8">
      <c r="A2528" s="6">
        <v>2526</v>
      </c>
      <c r="B2528" s="7" t="str">
        <f t="shared" si="606"/>
        <v>105</v>
      </c>
      <c r="C2528" s="7" t="s">
        <v>2002</v>
      </c>
      <c r="D2528" s="7" t="s">
        <v>2003</v>
      </c>
      <c r="E2528" s="7" t="str">
        <f>"张秋怡"</f>
        <v>张秋怡</v>
      </c>
      <c r="F2528" s="7" t="str">
        <f t="shared" ref="F2528:F2536" si="614">"女"</f>
        <v>女</v>
      </c>
      <c r="G2528" s="7" t="s">
        <v>2113</v>
      </c>
      <c r="H2528" s="8"/>
    </row>
    <row r="2529" ht="25" customHeight="1" spans="1:8">
      <c r="A2529" s="6">
        <v>2527</v>
      </c>
      <c r="B2529" s="7" t="str">
        <f t="shared" si="606"/>
        <v>105</v>
      </c>
      <c r="C2529" s="7" t="s">
        <v>2002</v>
      </c>
      <c r="D2529" s="7" t="s">
        <v>2003</v>
      </c>
      <c r="E2529" s="7" t="str">
        <f>"林隆豪"</f>
        <v>林隆豪</v>
      </c>
      <c r="F2529" s="7" t="str">
        <f t="shared" si="613"/>
        <v>男</v>
      </c>
      <c r="G2529" s="7" t="s">
        <v>2112</v>
      </c>
      <c r="H2529" s="8"/>
    </row>
    <row r="2530" ht="25" customHeight="1" spans="1:8">
      <c r="A2530" s="6">
        <v>2528</v>
      </c>
      <c r="B2530" s="7" t="str">
        <f t="shared" si="606"/>
        <v>105</v>
      </c>
      <c r="C2530" s="7" t="s">
        <v>2002</v>
      </c>
      <c r="D2530" s="7" t="s">
        <v>2003</v>
      </c>
      <c r="E2530" s="7" t="str">
        <f>"李久武"</f>
        <v>李久武</v>
      </c>
      <c r="F2530" s="7" t="str">
        <f t="shared" si="613"/>
        <v>男</v>
      </c>
      <c r="G2530" s="7" t="s">
        <v>478</v>
      </c>
      <c r="H2530" s="8"/>
    </row>
    <row r="2531" ht="25" customHeight="1" spans="1:8">
      <c r="A2531" s="6">
        <v>2529</v>
      </c>
      <c r="B2531" s="7" t="str">
        <f t="shared" si="606"/>
        <v>105</v>
      </c>
      <c r="C2531" s="7" t="s">
        <v>2002</v>
      </c>
      <c r="D2531" s="7" t="s">
        <v>2003</v>
      </c>
      <c r="E2531" s="7" t="str">
        <f>"刘媛"</f>
        <v>刘媛</v>
      </c>
      <c r="F2531" s="7" t="str">
        <f t="shared" si="614"/>
        <v>女</v>
      </c>
      <c r="G2531" s="7" t="s">
        <v>2114</v>
      </c>
      <c r="H2531" s="8"/>
    </row>
    <row r="2532" ht="25" customHeight="1" spans="1:8">
      <c r="A2532" s="6">
        <v>2530</v>
      </c>
      <c r="B2532" s="7" t="str">
        <f t="shared" si="606"/>
        <v>105</v>
      </c>
      <c r="C2532" s="7" t="s">
        <v>2002</v>
      </c>
      <c r="D2532" s="7" t="s">
        <v>2003</v>
      </c>
      <c r="E2532" s="7" t="str">
        <f>"盛寿山"</f>
        <v>盛寿山</v>
      </c>
      <c r="F2532" s="7" t="str">
        <f>"男"</f>
        <v>男</v>
      </c>
      <c r="G2532" s="7" t="s">
        <v>2115</v>
      </c>
      <c r="H2532" s="8"/>
    </row>
    <row r="2533" ht="25" customHeight="1" spans="1:8">
      <c r="A2533" s="6">
        <v>2531</v>
      </c>
      <c r="B2533" s="7" t="str">
        <f t="shared" si="606"/>
        <v>105</v>
      </c>
      <c r="C2533" s="7" t="s">
        <v>2002</v>
      </c>
      <c r="D2533" s="7" t="s">
        <v>2003</v>
      </c>
      <c r="E2533" s="7" t="str">
        <f>"陈惠娇"</f>
        <v>陈惠娇</v>
      </c>
      <c r="F2533" s="7" t="str">
        <f t="shared" si="614"/>
        <v>女</v>
      </c>
      <c r="G2533" s="7" t="s">
        <v>1468</v>
      </c>
      <c r="H2533" s="8"/>
    </row>
    <row r="2534" ht="25" customHeight="1" spans="1:8">
      <c r="A2534" s="6">
        <v>2532</v>
      </c>
      <c r="B2534" s="7" t="str">
        <f t="shared" si="606"/>
        <v>105</v>
      </c>
      <c r="C2534" s="7" t="s">
        <v>2002</v>
      </c>
      <c r="D2534" s="7" t="s">
        <v>2003</v>
      </c>
      <c r="E2534" s="7" t="str">
        <f>"雷雅茜"</f>
        <v>雷雅茜</v>
      </c>
      <c r="F2534" s="7" t="str">
        <f t="shared" si="614"/>
        <v>女</v>
      </c>
      <c r="G2534" s="7" t="s">
        <v>2116</v>
      </c>
      <c r="H2534" s="8"/>
    </row>
    <row r="2535" ht="25" customHeight="1" spans="1:8">
      <c r="A2535" s="6">
        <v>2533</v>
      </c>
      <c r="B2535" s="7" t="str">
        <f t="shared" si="606"/>
        <v>105</v>
      </c>
      <c r="C2535" s="7" t="s">
        <v>2002</v>
      </c>
      <c r="D2535" s="7" t="s">
        <v>2003</v>
      </c>
      <c r="E2535" s="7" t="str">
        <f>"高娜"</f>
        <v>高娜</v>
      </c>
      <c r="F2535" s="7" t="str">
        <f t="shared" si="614"/>
        <v>女</v>
      </c>
      <c r="G2535" s="7" t="s">
        <v>2117</v>
      </c>
      <c r="H2535" s="8"/>
    </row>
    <row r="2536" ht="25" customHeight="1" spans="1:8">
      <c r="A2536" s="6">
        <v>2534</v>
      </c>
      <c r="B2536" s="7" t="str">
        <f t="shared" si="606"/>
        <v>105</v>
      </c>
      <c r="C2536" s="7" t="s">
        <v>2002</v>
      </c>
      <c r="D2536" s="7" t="s">
        <v>2003</v>
      </c>
      <c r="E2536" s="7" t="str">
        <f>"陈潇琳"</f>
        <v>陈潇琳</v>
      </c>
      <c r="F2536" s="7" t="str">
        <f t="shared" si="614"/>
        <v>女</v>
      </c>
      <c r="G2536" s="7" t="s">
        <v>2118</v>
      </c>
      <c r="H2536" s="8"/>
    </row>
    <row r="2537" ht="25" customHeight="1" spans="1:8">
      <c r="A2537" s="6">
        <v>2535</v>
      </c>
      <c r="B2537" s="7" t="str">
        <f t="shared" si="606"/>
        <v>105</v>
      </c>
      <c r="C2537" s="7" t="s">
        <v>2002</v>
      </c>
      <c r="D2537" s="7" t="s">
        <v>2003</v>
      </c>
      <c r="E2537" s="7" t="str">
        <f>"谭振鹏"</f>
        <v>谭振鹏</v>
      </c>
      <c r="F2537" s="7" t="str">
        <f>"男"</f>
        <v>男</v>
      </c>
      <c r="G2537" s="7" t="s">
        <v>278</v>
      </c>
      <c r="H2537" s="8"/>
    </row>
    <row r="2538" ht="25" customHeight="1" spans="1:8">
      <c r="A2538" s="6">
        <v>2536</v>
      </c>
      <c r="B2538" s="7" t="str">
        <f t="shared" si="606"/>
        <v>105</v>
      </c>
      <c r="C2538" s="7" t="s">
        <v>2002</v>
      </c>
      <c r="D2538" s="7" t="s">
        <v>2003</v>
      </c>
      <c r="E2538" s="7" t="str">
        <f>"董雨峥"</f>
        <v>董雨峥</v>
      </c>
      <c r="F2538" s="7" t="str">
        <f t="shared" ref="F2538:F2544" si="615">"女"</f>
        <v>女</v>
      </c>
      <c r="G2538" s="7" t="s">
        <v>170</v>
      </c>
      <c r="H2538" s="8"/>
    </row>
    <row r="2539" ht="25" customHeight="1" spans="1:8">
      <c r="A2539" s="6">
        <v>2537</v>
      </c>
      <c r="B2539" s="7" t="str">
        <f t="shared" si="606"/>
        <v>105</v>
      </c>
      <c r="C2539" s="7" t="s">
        <v>2002</v>
      </c>
      <c r="D2539" s="7" t="s">
        <v>2003</v>
      </c>
      <c r="E2539" s="7" t="str">
        <f>"曹盛泽"</f>
        <v>曹盛泽</v>
      </c>
      <c r="F2539" s="7" t="str">
        <f>"男"</f>
        <v>男</v>
      </c>
      <c r="G2539" s="7" t="s">
        <v>2119</v>
      </c>
      <c r="H2539" s="8"/>
    </row>
    <row r="2540" ht="25" customHeight="1" spans="1:8">
      <c r="A2540" s="6">
        <v>2538</v>
      </c>
      <c r="B2540" s="7" t="str">
        <f t="shared" si="606"/>
        <v>105</v>
      </c>
      <c r="C2540" s="7" t="s">
        <v>2002</v>
      </c>
      <c r="D2540" s="7" t="s">
        <v>2003</v>
      </c>
      <c r="E2540" s="7" t="str">
        <f>"李晓倩"</f>
        <v>李晓倩</v>
      </c>
      <c r="F2540" s="7" t="str">
        <f t="shared" si="615"/>
        <v>女</v>
      </c>
      <c r="G2540" s="7" t="s">
        <v>2120</v>
      </c>
      <c r="H2540" s="8"/>
    </row>
    <row r="2541" ht="25" customHeight="1" spans="1:8">
      <c r="A2541" s="6">
        <v>2539</v>
      </c>
      <c r="B2541" s="7" t="str">
        <f t="shared" si="606"/>
        <v>105</v>
      </c>
      <c r="C2541" s="7" t="s">
        <v>2002</v>
      </c>
      <c r="D2541" s="7" t="s">
        <v>2003</v>
      </c>
      <c r="E2541" s="7" t="str">
        <f>"许萁芮"</f>
        <v>许萁芮</v>
      </c>
      <c r="F2541" s="7" t="str">
        <f t="shared" si="615"/>
        <v>女</v>
      </c>
      <c r="G2541" s="7" t="s">
        <v>2121</v>
      </c>
      <c r="H2541" s="8"/>
    </row>
    <row r="2542" ht="25" customHeight="1" spans="1:8">
      <c r="A2542" s="6">
        <v>2540</v>
      </c>
      <c r="B2542" s="7" t="str">
        <f t="shared" si="606"/>
        <v>105</v>
      </c>
      <c r="C2542" s="7" t="s">
        <v>2002</v>
      </c>
      <c r="D2542" s="7" t="s">
        <v>2003</v>
      </c>
      <c r="E2542" s="7" t="str">
        <f>"林玉"</f>
        <v>林玉</v>
      </c>
      <c r="F2542" s="7" t="str">
        <f t="shared" si="615"/>
        <v>女</v>
      </c>
      <c r="G2542" s="7" t="s">
        <v>371</v>
      </c>
      <c r="H2542" s="8"/>
    </row>
    <row r="2543" ht="25" customHeight="1" spans="1:8">
      <c r="A2543" s="6">
        <v>2541</v>
      </c>
      <c r="B2543" s="7" t="str">
        <f t="shared" si="606"/>
        <v>105</v>
      </c>
      <c r="C2543" s="7" t="s">
        <v>2002</v>
      </c>
      <c r="D2543" s="7" t="s">
        <v>2003</v>
      </c>
      <c r="E2543" s="7" t="str">
        <f>"兰漫"</f>
        <v>兰漫</v>
      </c>
      <c r="F2543" s="7" t="str">
        <f t="shared" si="615"/>
        <v>女</v>
      </c>
      <c r="G2543" s="7" t="s">
        <v>2122</v>
      </c>
      <c r="H2543" s="8"/>
    </row>
    <row r="2544" ht="25" customHeight="1" spans="1:8">
      <c r="A2544" s="6">
        <v>2542</v>
      </c>
      <c r="B2544" s="7" t="str">
        <f t="shared" si="606"/>
        <v>105</v>
      </c>
      <c r="C2544" s="7" t="s">
        <v>2002</v>
      </c>
      <c r="D2544" s="7" t="s">
        <v>2003</v>
      </c>
      <c r="E2544" s="7" t="str">
        <f>"钟安琪"</f>
        <v>钟安琪</v>
      </c>
      <c r="F2544" s="7" t="str">
        <f t="shared" si="615"/>
        <v>女</v>
      </c>
      <c r="G2544" s="7" t="s">
        <v>2123</v>
      </c>
      <c r="H2544" s="8"/>
    </row>
    <row r="2545" ht="25" customHeight="1" spans="1:8">
      <c r="A2545" s="6">
        <v>2543</v>
      </c>
      <c r="B2545" s="7" t="str">
        <f t="shared" si="606"/>
        <v>105</v>
      </c>
      <c r="C2545" s="7" t="s">
        <v>2002</v>
      </c>
      <c r="D2545" s="7" t="s">
        <v>2003</v>
      </c>
      <c r="E2545" s="7" t="str">
        <f>"柴健"</f>
        <v>柴健</v>
      </c>
      <c r="F2545" s="7" t="str">
        <f t="shared" ref="F2545:F2548" si="616">"男"</f>
        <v>男</v>
      </c>
      <c r="G2545" s="7" t="s">
        <v>2124</v>
      </c>
      <c r="H2545" s="8"/>
    </row>
    <row r="2546" ht="25" customHeight="1" spans="1:8">
      <c r="A2546" s="6">
        <v>2544</v>
      </c>
      <c r="B2546" s="7" t="str">
        <f t="shared" si="606"/>
        <v>105</v>
      </c>
      <c r="C2546" s="7" t="s">
        <v>2002</v>
      </c>
      <c r="D2546" s="7" t="s">
        <v>2003</v>
      </c>
      <c r="E2546" s="7" t="str">
        <f>"符祥壮"</f>
        <v>符祥壮</v>
      </c>
      <c r="F2546" s="7" t="str">
        <f t="shared" si="616"/>
        <v>男</v>
      </c>
      <c r="G2546" s="7" t="s">
        <v>2125</v>
      </c>
      <c r="H2546" s="8"/>
    </row>
    <row r="2547" ht="25" customHeight="1" spans="1:8">
      <c r="A2547" s="6">
        <v>2545</v>
      </c>
      <c r="B2547" s="7" t="str">
        <f t="shared" si="606"/>
        <v>105</v>
      </c>
      <c r="C2547" s="7" t="s">
        <v>2002</v>
      </c>
      <c r="D2547" s="7" t="s">
        <v>2003</v>
      </c>
      <c r="E2547" s="7" t="str">
        <f>"劳广术"</f>
        <v>劳广术</v>
      </c>
      <c r="F2547" s="7" t="str">
        <f t="shared" ref="F2547:F2550" si="617">"女"</f>
        <v>女</v>
      </c>
      <c r="G2547" s="7" t="s">
        <v>1692</v>
      </c>
      <c r="H2547" s="8"/>
    </row>
    <row r="2548" ht="25" customHeight="1" spans="1:8">
      <c r="A2548" s="6">
        <v>2546</v>
      </c>
      <c r="B2548" s="7" t="str">
        <f t="shared" si="606"/>
        <v>105</v>
      </c>
      <c r="C2548" s="7" t="s">
        <v>2002</v>
      </c>
      <c r="D2548" s="7" t="s">
        <v>2003</v>
      </c>
      <c r="E2548" s="7" t="str">
        <f>"陈振华"</f>
        <v>陈振华</v>
      </c>
      <c r="F2548" s="7" t="str">
        <f t="shared" si="616"/>
        <v>男</v>
      </c>
      <c r="G2548" s="7" t="s">
        <v>584</v>
      </c>
      <c r="H2548" s="8"/>
    </row>
    <row r="2549" ht="25" customHeight="1" spans="1:8">
      <c r="A2549" s="6">
        <v>2547</v>
      </c>
      <c r="B2549" s="7" t="str">
        <f t="shared" si="606"/>
        <v>105</v>
      </c>
      <c r="C2549" s="7" t="s">
        <v>2002</v>
      </c>
      <c r="D2549" s="7" t="s">
        <v>2003</v>
      </c>
      <c r="E2549" s="7" t="str">
        <f>"文俊婷"</f>
        <v>文俊婷</v>
      </c>
      <c r="F2549" s="7" t="str">
        <f t="shared" si="617"/>
        <v>女</v>
      </c>
      <c r="G2549" s="7" t="s">
        <v>2126</v>
      </c>
      <c r="H2549" s="8"/>
    </row>
    <row r="2550" ht="25" customHeight="1" spans="1:8">
      <c r="A2550" s="6">
        <v>2548</v>
      </c>
      <c r="B2550" s="7" t="str">
        <f t="shared" si="606"/>
        <v>105</v>
      </c>
      <c r="C2550" s="7" t="s">
        <v>2002</v>
      </c>
      <c r="D2550" s="7" t="s">
        <v>2003</v>
      </c>
      <c r="E2550" s="7" t="str">
        <f>"张娜"</f>
        <v>张娜</v>
      </c>
      <c r="F2550" s="7" t="str">
        <f t="shared" si="617"/>
        <v>女</v>
      </c>
      <c r="G2550" s="7" t="s">
        <v>2127</v>
      </c>
      <c r="H2550" s="8"/>
    </row>
    <row r="2551" ht="25" customHeight="1" spans="1:8">
      <c r="A2551" s="6">
        <v>2549</v>
      </c>
      <c r="B2551" s="7" t="str">
        <f t="shared" si="606"/>
        <v>105</v>
      </c>
      <c r="C2551" s="7" t="s">
        <v>2002</v>
      </c>
      <c r="D2551" s="7" t="s">
        <v>2003</v>
      </c>
      <c r="E2551" s="7" t="str">
        <f>"陈福铎"</f>
        <v>陈福铎</v>
      </c>
      <c r="F2551" s="7" t="str">
        <f>"男"</f>
        <v>男</v>
      </c>
      <c r="G2551" s="7" t="s">
        <v>2128</v>
      </c>
      <c r="H2551" s="8"/>
    </row>
    <row r="2552" ht="25" customHeight="1" spans="1:8">
      <c r="A2552" s="6">
        <v>2550</v>
      </c>
      <c r="B2552" s="7" t="str">
        <f t="shared" si="606"/>
        <v>105</v>
      </c>
      <c r="C2552" s="7" t="s">
        <v>2002</v>
      </c>
      <c r="D2552" s="7" t="s">
        <v>2003</v>
      </c>
      <c r="E2552" s="7" t="str">
        <f>"陈婆爱"</f>
        <v>陈婆爱</v>
      </c>
      <c r="F2552" s="7" t="str">
        <f t="shared" ref="F2552:F2555" si="618">"女"</f>
        <v>女</v>
      </c>
      <c r="G2552" s="7" t="s">
        <v>1985</v>
      </c>
      <c r="H2552" s="8"/>
    </row>
    <row r="2553" ht="25" customHeight="1" spans="1:8">
      <c r="A2553" s="6">
        <v>2551</v>
      </c>
      <c r="B2553" s="7" t="str">
        <f t="shared" si="606"/>
        <v>105</v>
      </c>
      <c r="C2553" s="7" t="s">
        <v>2002</v>
      </c>
      <c r="D2553" s="7" t="s">
        <v>2003</v>
      </c>
      <c r="E2553" s="7" t="str">
        <f>"赖子英"</f>
        <v>赖子英</v>
      </c>
      <c r="F2553" s="7" t="str">
        <f t="shared" si="618"/>
        <v>女</v>
      </c>
      <c r="G2553" s="7" t="s">
        <v>2129</v>
      </c>
      <c r="H2553" s="8"/>
    </row>
    <row r="2554" ht="25" customHeight="1" spans="1:8">
      <c r="A2554" s="6">
        <v>2552</v>
      </c>
      <c r="B2554" s="7" t="str">
        <f t="shared" si="606"/>
        <v>105</v>
      </c>
      <c r="C2554" s="7" t="s">
        <v>2002</v>
      </c>
      <c r="D2554" s="7" t="s">
        <v>2003</v>
      </c>
      <c r="E2554" s="7" t="str">
        <f>"邢维菊"</f>
        <v>邢维菊</v>
      </c>
      <c r="F2554" s="7" t="str">
        <f t="shared" si="618"/>
        <v>女</v>
      </c>
      <c r="G2554" s="7" t="s">
        <v>2130</v>
      </c>
      <c r="H2554" s="8"/>
    </row>
    <row r="2555" ht="25" customHeight="1" spans="1:8">
      <c r="A2555" s="6">
        <v>2553</v>
      </c>
      <c r="B2555" s="7" t="str">
        <f t="shared" si="606"/>
        <v>105</v>
      </c>
      <c r="C2555" s="7" t="s">
        <v>2002</v>
      </c>
      <c r="D2555" s="7" t="s">
        <v>2003</v>
      </c>
      <c r="E2555" s="7" t="str">
        <f>"黄彩茜"</f>
        <v>黄彩茜</v>
      </c>
      <c r="F2555" s="7" t="str">
        <f t="shared" si="618"/>
        <v>女</v>
      </c>
      <c r="G2555" s="7" t="s">
        <v>2131</v>
      </c>
      <c r="H2555" s="8"/>
    </row>
    <row r="2556" ht="25" customHeight="1" spans="1:8">
      <c r="A2556" s="6">
        <v>2554</v>
      </c>
      <c r="B2556" s="7" t="str">
        <f t="shared" si="606"/>
        <v>105</v>
      </c>
      <c r="C2556" s="7" t="s">
        <v>2002</v>
      </c>
      <c r="D2556" s="7" t="s">
        <v>2003</v>
      </c>
      <c r="E2556" s="7" t="str">
        <f>"陈忠群"</f>
        <v>陈忠群</v>
      </c>
      <c r="F2556" s="7" t="str">
        <f>"男"</f>
        <v>男</v>
      </c>
      <c r="G2556" s="7" t="s">
        <v>2132</v>
      </c>
      <c r="H2556" s="8"/>
    </row>
    <row r="2557" ht="25" customHeight="1" spans="1:8">
      <c r="A2557" s="6">
        <v>2555</v>
      </c>
      <c r="B2557" s="7" t="str">
        <f t="shared" si="606"/>
        <v>105</v>
      </c>
      <c r="C2557" s="7" t="s">
        <v>2002</v>
      </c>
      <c r="D2557" s="7" t="s">
        <v>2003</v>
      </c>
      <c r="E2557" s="7" t="str">
        <f>"林玲"</f>
        <v>林玲</v>
      </c>
      <c r="F2557" s="7" t="str">
        <f t="shared" ref="F2557:F2561" si="619">"女"</f>
        <v>女</v>
      </c>
      <c r="G2557" s="7" t="s">
        <v>2133</v>
      </c>
      <c r="H2557" s="8"/>
    </row>
    <row r="2558" ht="25" customHeight="1" spans="1:8">
      <c r="A2558" s="6">
        <v>2556</v>
      </c>
      <c r="B2558" s="7" t="str">
        <f t="shared" si="606"/>
        <v>105</v>
      </c>
      <c r="C2558" s="7" t="s">
        <v>2002</v>
      </c>
      <c r="D2558" s="7" t="s">
        <v>2003</v>
      </c>
      <c r="E2558" s="7" t="str">
        <f>"刘怡峰"</f>
        <v>刘怡峰</v>
      </c>
      <c r="F2558" s="7" t="str">
        <f t="shared" ref="F2558:F2564" si="620">"男"</f>
        <v>男</v>
      </c>
      <c r="G2558" s="7" t="s">
        <v>2134</v>
      </c>
      <c r="H2558" s="8"/>
    </row>
    <row r="2559" ht="25" customHeight="1" spans="1:8">
      <c r="A2559" s="6">
        <v>2557</v>
      </c>
      <c r="B2559" s="7" t="str">
        <f t="shared" si="606"/>
        <v>105</v>
      </c>
      <c r="C2559" s="7" t="s">
        <v>2002</v>
      </c>
      <c r="D2559" s="7" t="s">
        <v>2003</v>
      </c>
      <c r="E2559" s="7" t="str">
        <f>"陈志欣"</f>
        <v>陈志欣</v>
      </c>
      <c r="F2559" s="7" t="str">
        <f t="shared" si="619"/>
        <v>女</v>
      </c>
      <c r="G2559" s="7" t="s">
        <v>1759</v>
      </c>
      <c r="H2559" s="8"/>
    </row>
    <row r="2560" ht="25" customHeight="1" spans="1:8">
      <c r="A2560" s="6">
        <v>2558</v>
      </c>
      <c r="B2560" s="7" t="str">
        <f t="shared" si="606"/>
        <v>105</v>
      </c>
      <c r="C2560" s="7" t="s">
        <v>2002</v>
      </c>
      <c r="D2560" s="7" t="s">
        <v>2003</v>
      </c>
      <c r="E2560" s="7" t="str">
        <f>"何华琳"</f>
        <v>何华琳</v>
      </c>
      <c r="F2560" s="7" t="str">
        <f t="shared" si="619"/>
        <v>女</v>
      </c>
      <c r="G2560" s="7" t="s">
        <v>329</v>
      </c>
      <c r="H2560" s="8"/>
    </row>
    <row r="2561" ht="25" customHeight="1" spans="1:8">
      <c r="A2561" s="6">
        <v>2559</v>
      </c>
      <c r="B2561" s="7" t="str">
        <f t="shared" si="606"/>
        <v>105</v>
      </c>
      <c r="C2561" s="7" t="s">
        <v>2002</v>
      </c>
      <c r="D2561" s="7" t="s">
        <v>2003</v>
      </c>
      <c r="E2561" s="7" t="str">
        <f>"莫宛"</f>
        <v>莫宛</v>
      </c>
      <c r="F2561" s="7" t="str">
        <f t="shared" si="619"/>
        <v>女</v>
      </c>
      <c r="G2561" s="7" t="s">
        <v>671</v>
      </c>
      <c r="H2561" s="8"/>
    </row>
    <row r="2562" ht="25" customHeight="1" spans="1:8">
      <c r="A2562" s="6">
        <v>2560</v>
      </c>
      <c r="B2562" s="7" t="str">
        <f t="shared" si="606"/>
        <v>105</v>
      </c>
      <c r="C2562" s="7" t="s">
        <v>2002</v>
      </c>
      <c r="D2562" s="7" t="s">
        <v>2003</v>
      </c>
      <c r="E2562" s="7" t="str">
        <f>"蔡良杰"</f>
        <v>蔡良杰</v>
      </c>
      <c r="F2562" s="7" t="str">
        <f t="shared" si="620"/>
        <v>男</v>
      </c>
      <c r="G2562" s="7" t="s">
        <v>2135</v>
      </c>
      <c r="H2562" s="8"/>
    </row>
    <row r="2563" ht="25" customHeight="1" spans="1:8">
      <c r="A2563" s="6">
        <v>2561</v>
      </c>
      <c r="B2563" s="7" t="str">
        <f t="shared" si="606"/>
        <v>105</v>
      </c>
      <c r="C2563" s="7" t="s">
        <v>2002</v>
      </c>
      <c r="D2563" s="7" t="s">
        <v>2003</v>
      </c>
      <c r="E2563" s="7" t="str">
        <f>"张清星"</f>
        <v>张清星</v>
      </c>
      <c r="F2563" s="7" t="str">
        <f t="shared" si="620"/>
        <v>男</v>
      </c>
      <c r="G2563" s="7" t="s">
        <v>2136</v>
      </c>
      <c r="H2563" s="8"/>
    </row>
    <row r="2564" ht="25" customHeight="1" spans="1:8">
      <c r="A2564" s="6">
        <v>2562</v>
      </c>
      <c r="B2564" s="7" t="str">
        <f t="shared" ref="B2564:B2627" si="621">"105"</f>
        <v>105</v>
      </c>
      <c r="C2564" s="7" t="s">
        <v>2002</v>
      </c>
      <c r="D2564" s="7" t="s">
        <v>2003</v>
      </c>
      <c r="E2564" s="7" t="str">
        <f>"张冠龙"</f>
        <v>张冠龙</v>
      </c>
      <c r="F2564" s="7" t="str">
        <f t="shared" si="620"/>
        <v>男</v>
      </c>
      <c r="G2564" s="7" t="s">
        <v>2137</v>
      </c>
      <c r="H2564" s="8"/>
    </row>
    <row r="2565" ht="25" customHeight="1" spans="1:8">
      <c r="A2565" s="6">
        <v>2563</v>
      </c>
      <c r="B2565" s="7" t="str">
        <f t="shared" si="621"/>
        <v>105</v>
      </c>
      <c r="C2565" s="7" t="s">
        <v>2002</v>
      </c>
      <c r="D2565" s="7" t="s">
        <v>2003</v>
      </c>
      <c r="E2565" s="7" t="str">
        <f>"唐远玲"</f>
        <v>唐远玲</v>
      </c>
      <c r="F2565" s="7" t="str">
        <f t="shared" ref="F2565:F2573" si="622">"女"</f>
        <v>女</v>
      </c>
      <c r="G2565" s="7" t="s">
        <v>440</v>
      </c>
      <c r="H2565" s="8"/>
    </row>
    <row r="2566" ht="25" customHeight="1" spans="1:8">
      <c r="A2566" s="6">
        <v>2564</v>
      </c>
      <c r="B2566" s="7" t="str">
        <f t="shared" si="621"/>
        <v>105</v>
      </c>
      <c r="C2566" s="7" t="s">
        <v>2002</v>
      </c>
      <c r="D2566" s="7" t="s">
        <v>2003</v>
      </c>
      <c r="E2566" s="7" t="str">
        <f>"林子俊"</f>
        <v>林子俊</v>
      </c>
      <c r="F2566" s="7" t="str">
        <f t="shared" ref="F2566:F2569" si="623">"男"</f>
        <v>男</v>
      </c>
      <c r="G2566" s="7" t="s">
        <v>2138</v>
      </c>
      <c r="H2566" s="8"/>
    </row>
    <row r="2567" ht="25" customHeight="1" spans="1:8">
      <c r="A2567" s="6">
        <v>2565</v>
      </c>
      <c r="B2567" s="7" t="str">
        <f t="shared" si="621"/>
        <v>105</v>
      </c>
      <c r="C2567" s="7" t="s">
        <v>2002</v>
      </c>
      <c r="D2567" s="7" t="s">
        <v>2003</v>
      </c>
      <c r="E2567" s="7" t="str">
        <f>"王晓琳"</f>
        <v>王晓琳</v>
      </c>
      <c r="F2567" s="7" t="str">
        <f t="shared" si="622"/>
        <v>女</v>
      </c>
      <c r="G2567" s="7" t="s">
        <v>2139</v>
      </c>
      <c r="H2567" s="8"/>
    </row>
    <row r="2568" ht="25" customHeight="1" spans="1:8">
      <c r="A2568" s="6">
        <v>2566</v>
      </c>
      <c r="B2568" s="7" t="str">
        <f t="shared" si="621"/>
        <v>105</v>
      </c>
      <c r="C2568" s="7" t="s">
        <v>2002</v>
      </c>
      <c r="D2568" s="7" t="s">
        <v>2003</v>
      </c>
      <c r="E2568" s="7" t="str">
        <f>"刘文强"</f>
        <v>刘文强</v>
      </c>
      <c r="F2568" s="7" t="str">
        <f t="shared" si="623"/>
        <v>男</v>
      </c>
      <c r="G2568" s="7" t="s">
        <v>2140</v>
      </c>
      <c r="H2568" s="8"/>
    </row>
    <row r="2569" ht="25" customHeight="1" spans="1:8">
      <c r="A2569" s="6">
        <v>2567</v>
      </c>
      <c r="B2569" s="7" t="str">
        <f t="shared" si="621"/>
        <v>105</v>
      </c>
      <c r="C2569" s="7" t="s">
        <v>2002</v>
      </c>
      <c r="D2569" s="7" t="s">
        <v>2003</v>
      </c>
      <c r="E2569" s="7" t="str">
        <f>"谭家捷"</f>
        <v>谭家捷</v>
      </c>
      <c r="F2569" s="7" t="str">
        <f t="shared" si="623"/>
        <v>男</v>
      </c>
      <c r="G2569" s="7" t="s">
        <v>2141</v>
      </c>
      <c r="H2569" s="8"/>
    </row>
    <row r="2570" ht="25" customHeight="1" spans="1:8">
      <c r="A2570" s="6">
        <v>2568</v>
      </c>
      <c r="B2570" s="7" t="str">
        <f t="shared" si="621"/>
        <v>105</v>
      </c>
      <c r="C2570" s="7" t="s">
        <v>2002</v>
      </c>
      <c r="D2570" s="7" t="s">
        <v>2003</v>
      </c>
      <c r="E2570" s="7" t="str">
        <f>"李佳璐"</f>
        <v>李佳璐</v>
      </c>
      <c r="F2570" s="7" t="str">
        <f t="shared" si="622"/>
        <v>女</v>
      </c>
      <c r="G2570" s="7" t="s">
        <v>2142</v>
      </c>
      <c r="H2570" s="8"/>
    </row>
    <row r="2571" ht="25" customHeight="1" spans="1:8">
      <c r="A2571" s="6">
        <v>2569</v>
      </c>
      <c r="B2571" s="7" t="str">
        <f t="shared" si="621"/>
        <v>105</v>
      </c>
      <c r="C2571" s="7" t="s">
        <v>2002</v>
      </c>
      <c r="D2571" s="7" t="s">
        <v>2003</v>
      </c>
      <c r="E2571" s="7" t="str">
        <f>"谢欣霖"</f>
        <v>谢欣霖</v>
      </c>
      <c r="F2571" s="7" t="str">
        <f t="shared" si="622"/>
        <v>女</v>
      </c>
      <c r="G2571" s="7" t="s">
        <v>2143</v>
      </c>
      <c r="H2571" s="8"/>
    </row>
    <row r="2572" ht="25" customHeight="1" spans="1:8">
      <c r="A2572" s="6">
        <v>2570</v>
      </c>
      <c r="B2572" s="7" t="str">
        <f t="shared" si="621"/>
        <v>105</v>
      </c>
      <c r="C2572" s="7" t="s">
        <v>2002</v>
      </c>
      <c r="D2572" s="7" t="s">
        <v>2003</v>
      </c>
      <c r="E2572" s="7" t="str">
        <f>"唐世玉"</f>
        <v>唐世玉</v>
      </c>
      <c r="F2572" s="7" t="str">
        <f t="shared" si="622"/>
        <v>女</v>
      </c>
      <c r="G2572" s="7" t="s">
        <v>2144</v>
      </c>
      <c r="H2572" s="8"/>
    </row>
    <row r="2573" ht="25" customHeight="1" spans="1:8">
      <c r="A2573" s="6">
        <v>2571</v>
      </c>
      <c r="B2573" s="7" t="str">
        <f t="shared" si="621"/>
        <v>105</v>
      </c>
      <c r="C2573" s="7" t="s">
        <v>2002</v>
      </c>
      <c r="D2573" s="7" t="s">
        <v>2003</v>
      </c>
      <c r="E2573" s="7" t="str">
        <f>"刘炳含"</f>
        <v>刘炳含</v>
      </c>
      <c r="F2573" s="7" t="str">
        <f t="shared" si="622"/>
        <v>女</v>
      </c>
      <c r="G2573" s="7" t="s">
        <v>2145</v>
      </c>
      <c r="H2573" s="8"/>
    </row>
    <row r="2574" ht="25" customHeight="1" spans="1:8">
      <c r="A2574" s="6">
        <v>2572</v>
      </c>
      <c r="B2574" s="7" t="str">
        <f t="shared" si="621"/>
        <v>105</v>
      </c>
      <c r="C2574" s="7" t="s">
        <v>2002</v>
      </c>
      <c r="D2574" s="7" t="s">
        <v>2003</v>
      </c>
      <c r="E2574" s="7" t="str">
        <f>"黄文飞"</f>
        <v>黄文飞</v>
      </c>
      <c r="F2574" s="7" t="str">
        <f>"男"</f>
        <v>男</v>
      </c>
      <c r="G2574" s="7" t="s">
        <v>2146</v>
      </c>
      <c r="H2574" s="8"/>
    </row>
    <row r="2575" ht="25" customHeight="1" spans="1:8">
      <c r="A2575" s="6">
        <v>2573</v>
      </c>
      <c r="B2575" s="7" t="str">
        <f t="shared" si="621"/>
        <v>105</v>
      </c>
      <c r="C2575" s="7" t="s">
        <v>2002</v>
      </c>
      <c r="D2575" s="7" t="s">
        <v>2003</v>
      </c>
      <c r="E2575" s="7" t="str">
        <f>"王若丹"</f>
        <v>王若丹</v>
      </c>
      <c r="F2575" s="7" t="str">
        <f t="shared" ref="F2575:F2577" si="624">"女"</f>
        <v>女</v>
      </c>
      <c r="G2575" s="7" t="s">
        <v>383</v>
      </c>
      <c r="H2575" s="8"/>
    </row>
    <row r="2576" ht="25" customHeight="1" spans="1:8">
      <c r="A2576" s="6">
        <v>2574</v>
      </c>
      <c r="B2576" s="7" t="str">
        <f t="shared" si="621"/>
        <v>105</v>
      </c>
      <c r="C2576" s="7" t="s">
        <v>2002</v>
      </c>
      <c r="D2576" s="7" t="s">
        <v>2003</v>
      </c>
      <c r="E2576" s="7" t="str">
        <f>"李海霞"</f>
        <v>李海霞</v>
      </c>
      <c r="F2576" s="7" t="str">
        <f t="shared" si="624"/>
        <v>女</v>
      </c>
      <c r="G2576" s="7" t="s">
        <v>2147</v>
      </c>
      <c r="H2576" s="8"/>
    </row>
    <row r="2577" ht="25" customHeight="1" spans="1:8">
      <c r="A2577" s="6">
        <v>2575</v>
      </c>
      <c r="B2577" s="7" t="str">
        <f t="shared" si="621"/>
        <v>105</v>
      </c>
      <c r="C2577" s="7" t="s">
        <v>2002</v>
      </c>
      <c r="D2577" s="7" t="s">
        <v>2003</v>
      </c>
      <c r="E2577" s="7" t="str">
        <f>"彭瑶"</f>
        <v>彭瑶</v>
      </c>
      <c r="F2577" s="7" t="str">
        <f t="shared" si="624"/>
        <v>女</v>
      </c>
      <c r="G2577" s="7" t="s">
        <v>2148</v>
      </c>
      <c r="H2577" s="8"/>
    </row>
    <row r="2578" ht="25" customHeight="1" spans="1:8">
      <c r="A2578" s="6">
        <v>2576</v>
      </c>
      <c r="B2578" s="7" t="str">
        <f t="shared" si="621"/>
        <v>105</v>
      </c>
      <c r="C2578" s="7" t="s">
        <v>2002</v>
      </c>
      <c r="D2578" s="7" t="s">
        <v>2003</v>
      </c>
      <c r="E2578" s="7" t="str">
        <f>"苍俊泽"</f>
        <v>苍俊泽</v>
      </c>
      <c r="F2578" s="7" t="str">
        <f t="shared" ref="F2578:F2584" si="625">"男"</f>
        <v>男</v>
      </c>
      <c r="G2578" s="7" t="s">
        <v>639</v>
      </c>
      <c r="H2578" s="8"/>
    </row>
    <row r="2579" ht="25" customHeight="1" spans="1:8">
      <c r="A2579" s="6">
        <v>2577</v>
      </c>
      <c r="B2579" s="7" t="str">
        <f t="shared" si="621"/>
        <v>105</v>
      </c>
      <c r="C2579" s="7" t="s">
        <v>2002</v>
      </c>
      <c r="D2579" s="7" t="s">
        <v>2003</v>
      </c>
      <c r="E2579" s="7" t="str">
        <f>"李妤"</f>
        <v>李妤</v>
      </c>
      <c r="F2579" s="7" t="str">
        <f>"女"</f>
        <v>女</v>
      </c>
      <c r="G2579" s="7" t="s">
        <v>2149</v>
      </c>
      <c r="H2579" s="8"/>
    </row>
    <row r="2580" ht="25" customHeight="1" spans="1:8">
      <c r="A2580" s="6">
        <v>2578</v>
      </c>
      <c r="B2580" s="7" t="str">
        <f t="shared" si="621"/>
        <v>105</v>
      </c>
      <c r="C2580" s="7" t="s">
        <v>2002</v>
      </c>
      <c r="D2580" s="7" t="s">
        <v>2003</v>
      </c>
      <c r="E2580" s="7" t="str">
        <f>"叶乾民"</f>
        <v>叶乾民</v>
      </c>
      <c r="F2580" s="7" t="str">
        <f t="shared" si="625"/>
        <v>男</v>
      </c>
      <c r="G2580" s="7" t="s">
        <v>1831</v>
      </c>
      <c r="H2580" s="8"/>
    </row>
    <row r="2581" ht="25" customHeight="1" spans="1:8">
      <c r="A2581" s="6">
        <v>2579</v>
      </c>
      <c r="B2581" s="7" t="str">
        <f t="shared" si="621"/>
        <v>105</v>
      </c>
      <c r="C2581" s="7" t="s">
        <v>2002</v>
      </c>
      <c r="D2581" s="7" t="s">
        <v>2003</v>
      </c>
      <c r="E2581" s="7" t="str">
        <f>"刘媛媛"</f>
        <v>刘媛媛</v>
      </c>
      <c r="F2581" s="7" t="str">
        <f>"女"</f>
        <v>女</v>
      </c>
      <c r="G2581" s="7" t="s">
        <v>2150</v>
      </c>
      <c r="H2581" s="8"/>
    </row>
    <row r="2582" ht="25" customHeight="1" spans="1:8">
      <c r="A2582" s="6">
        <v>2580</v>
      </c>
      <c r="B2582" s="7" t="str">
        <f t="shared" si="621"/>
        <v>105</v>
      </c>
      <c r="C2582" s="7" t="s">
        <v>2002</v>
      </c>
      <c r="D2582" s="7" t="s">
        <v>2003</v>
      </c>
      <c r="E2582" s="7" t="str">
        <f>"罗伟琳"</f>
        <v>罗伟琳</v>
      </c>
      <c r="F2582" s="7" t="str">
        <f t="shared" si="625"/>
        <v>男</v>
      </c>
      <c r="G2582" s="7" t="s">
        <v>2151</v>
      </c>
      <c r="H2582" s="8"/>
    </row>
    <row r="2583" ht="25" customHeight="1" spans="1:8">
      <c r="A2583" s="6">
        <v>2581</v>
      </c>
      <c r="B2583" s="7" t="str">
        <f t="shared" si="621"/>
        <v>105</v>
      </c>
      <c r="C2583" s="7" t="s">
        <v>2002</v>
      </c>
      <c r="D2583" s="7" t="s">
        <v>2003</v>
      </c>
      <c r="E2583" s="7" t="str">
        <f>"羊章雄"</f>
        <v>羊章雄</v>
      </c>
      <c r="F2583" s="7" t="str">
        <f t="shared" si="625"/>
        <v>男</v>
      </c>
      <c r="G2583" s="7" t="s">
        <v>2152</v>
      </c>
      <c r="H2583" s="8"/>
    </row>
    <row r="2584" ht="25" customHeight="1" spans="1:8">
      <c r="A2584" s="6">
        <v>2582</v>
      </c>
      <c r="B2584" s="7" t="str">
        <f t="shared" si="621"/>
        <v>105</v>
      </c>
      <c r="C2584" s="7" t="s">
        <v>2002</v>
      </c>
      <c r="D2584" s="7" t="s">
        <v>2003</v>
      </c>
      <c r="E2584" s="7" t="str">
        <f>"符一林"</f>
        <v>符一林</v>
      </c>
      <c r="F2584" s="7" t="str">
        <f t="shared" si="625"/>
        <v>男</v>
      </c>
      <c r="G2584" s="7" t="s">
        <v>2153</v>
      </c>
      <c r="H2584" s="8"/>
    </row>
    <row r="2585" ht="25" customHeight="1" spans="1:8">
      <c r="A2585" s="6">
        <v>2583</v>
      </c>
      <c r="B2585" s="7" t="str">
        <f t="shared" si="621"/>
        <v>105</v>
      </c>
      <c r="C2585" s="7" t="s">
        <v>2002</v>
      </c>
      <c r="D2585" s="7" t="s">
        <v>2003</v>
      </c>
      <c r="E2585" s="7" t="str">
        <f>"胡冰姿"</f>
        <v>胡冰姿</v>
      </c>
      <c r="F2585" s="7" t="str">
        <f t="shared" ref="F2585:F2590" si="626">"女"</f>
        <v>女</v>
      </c>
      <c r="G2585" s="7" t="s">
        <v>2154</v>
      </c>
      <c r="H2585" s="8"/>
    </row>
    <row r="2586" ht="25" customHeight="1" spans="1:8">
      <c r="A2586" s="6">
        <v>2584</v>
      </c>
      <c r="B2586" s="7" t="str">
        <f t="shared" si="621"/>
        <v>105</v>
      </c>
      <c r="C2586" s="7" t="s">
        <v>2002</v>
      </c>
      <c r="D2586" s="7" t="s">
        <v>2003</v>
      </c>
      <c r="E2586" s="7" t="str">
        <f>"吴雨霡"</f>
        <v>吴雨霡</v>
      </c>
      <c r="F2586" s="7" t="str">
        <f>"男"</f>
        <v>男</v>
      </c>
      <c r="G2586" s="7" t="s">
        <v>278</v>
      </c>
      <c r="H2586" s="8"/>
    </row>
    <row r="2587" ht="25" customHeight="1" spans="1:8">
      <c r="A2587" s="6">
        <v>2585</v>
      </c>
      <c r="B2587" s="7" t="str">
        <f t="shared" si="621"/>
        <v>105</v>
      </c>
      <c r="C2587" s="7" t="s">
        <v>2002</v>
      </c>
      <c r="D2587" s="7" t="s">
        <v>2003</v>
      </c>
      <c r="E2587" s="7" t="str">
        <f>"韦静钰"</f>
        <v>韦静钰</v>
      </c>
      <c r="F2587" s="7" t="str">
        <f t="shared" si="626"/>
        <v>女</v>
      </c>
      <c r="G2587" s="7" t="s">
        <v>2155</v>
      </c>
      <c r="H2587" s="8"/>
    </row>
    <row r="2588" ht="25" customHeight="1" spans="1:8">
      <c r="A2588" s="6">
        <v>2586</v>
      </c>
      <c r="B2588" s="7" t="str">
        <f t="shared" si="621"/>
        <v>105</v>
      </c>
      <c r="C2588" s="7" t="s">
        <v>2002</v>
      </c>
      <c r="D2588" s="7" t="s">
        <v>2003</v>
      </c>
      <c r="E2588" s="7" t="str">
        <f>"何向琳"</f>
        <v>何向琳</v>
      </c>
      <c r="F2588" s="7" t="str">
        <f t="shared" si="626"/>
        <v>女</v>
      </c>
      <c r="G2588" s="7" t="s">
        <v>2156</v>
      </c>
      <c r="H2588" s="8"/>
    </row>
    <row r="2589" ht="25" customHeight="1" spans="1:8">
      <c r="A2589" s="6">
        <v>2587</v>
      </c>
      <c r="B2589" s="7" t="str">
        <f t="shared" si="621"/>
        <v>105</v>
      </c>
      <c r="C2589" s="7" t="s">
        <v>2002</v>
      </c>
      <c r="D2589" s="7" t="s">
        <v>2003</v>
      </c>
      <c r="E2589" s="7" t="str">
        <f>"冯延"</f>
        <v>冯延</v>
      </c>
      <c r="F2589" s="7" t="str">
        <f t="shared" si="626"/>
        <v>女</v>
      </c>
      <c r="G2589" s="7" t="s">
        <v>2130</v>
      </c>
      <c r="H2589" s="8"/>
    </row>
    <row r="2590" ht="25" customHeight="1" spans="1:8">
      <c r="A2590" s="6">
        <v>2588</v>
      </c>
      <c r="B2590" s="7" t="str">
        <f t="shared" si="621"/>
        <v>105</v>
      </c>
      <c r="C2590" s="7" t="s">
        <v>2002</v>
      </c>
      <c r="D2590" s="7" t="s">
        <v>2003</v>
      </c>
      <c r="E2590" s="7" t="str">
        <f>"袁明霞"</f>
        <v>袁明霞</v>
      </c>
      <c r="F2590" s="7" t="str">
        <f t="shared" si="626"/>
        <v>女</v>
      </c>
      <c r="G2590" s="7" t="s">
        <v>2157</v>
      </c>
      <c r="H2590" s="8"/>
    </row>
    <row r="2591" ht="25" customHeight="1" spans="1:8">
      <c r="A2591" s="6">
        <v>2589</v>
      </c>
      <c r="B2591" s="7" t="str">
        <f t="shared" si="621"/>
        <v>105</v>
      </c>
      <c r="C2591" s="7" t="s">
        <v>2002</v>
      </c>
      <c r="D2591" s="7" t="s">
        <v>2003</v>
      </c>
      <c r="E2591" s="7" t="str">
        <f>"介浩宇"</f>
        <v>介浩宇</v>
      </c>
      <c r="F2591" s="7" t="str">
        <f t="shared" ref="F2591:F2597" si="627">"男"</f>
        <v>男</v>
      </c>
      <c r="G2591" s="7" t="s">
        <v>2158</v>
      </c>
      <c r="H2591" s="8"/>
    </row>
    <row r="2592" ht="25" customHeight="1" spans="1:8">
      <c r="A2592" s="6">
        <v>2590</v>
      </c>
      <c r="B2592" s="7" t="str">
        <f t="shared" si="621"/>
        <v>105</v>
      </c>
      <c r="C2592" s="7" t="s">
        <v>2002</v>
      </c>
      <c r="D2592" s="7" t="s">
        <v>2003</v>
      </c>
      <c r="E2592" s="7" t="str">
        <f>"吴莹靓"</f>
        <v>吴莹靓</v>
      </c>
      <c r="F2592" s="7" t="str">
        <f t="shared" ref="F2592:F2594" si="628">"女"</f>
        <v>女</v>
      </c>
      <c r="G2592" s="7" t="s">
        <v>2159</v>
      </c>
      <c r="H2592" s="8"/>
    </row>
    <row r="2593" ht="25" customHeight="1" spans="1:8">
      <c r="A2593" s="6">
        <v>2591</v>
      </c>
      <c r="B2593" s="7" t="str">
        <f t="shared" si="621"/>
        <v>105</v>
      </c>
      <c r="C2593" s="7" t="s">
        <v>2002</v>
      </c>
      <c r="D2593" s="7" t="s">
        <v>2003</v>
      </c>
      <c r="E2593" s="7" t="str">
        <f>"李汐梓"</f>
        <v>李汐梓</v>
      </c>
      <c r="F2593" s="7" t="str">
        <f t="shared" si="628"/>
        <v>女</v>
      </c>
      <c r="G2593" s="7" t="s">
        <v>2160</v>
      </c>
      <c r="H2593" s="8"/>
    </row>
    <row r="2594" ht="25" customHeight="1" spans="1:8">
      <c r="A2594" s="6">
        <v>2592</v>
      </c>
      <c r="B2594" s="7" t="str">
        <f t="shared" si="621"/>
        <v>105</v>
      </c>
      <c r="C2594" s="7" t="s">
        <v>2002</v>
      </c>
      <c r="D2594" s="7" t="s">
        <v>2003</v>
      </c>
      <c r="E2594" s="7" t="str">
        <f>"黄晨男"</f>
        <v>黄晨男</v>
      </c>
      <c r="F2594" s="7" t="str">
        <f t="shared" si="628"/>
        <v>女</v>
      </c>
      <c r="G2594" s="7" t="s">
        <v>2161</v>
      </c>
      <c r="H2594" s="8"/>
    </row>
    <row r="2595" ht="25" customHeight="1" spans="1:8">
      <c r="A2595" s="6">
        <v>2593</v>
      </c>
      <c r="B2595" s="7" t="str">
        <f t="shared" si="621"/>
        <v>105</v>
      </c>
      <c r="C2595" s="7" t="s">
        <v>2002</v>
      </c>
      <c r="D2595" s="7" t="s">
        <v>2003</v>
      </c>
      <c r="E2595" s="7" t="str">
        <f>"陈恒大"</f>
        <v>陈恒大</v>
      </c>
      <c r="F2595" s="7" t="str">
        <f t="shared" si="627"/>
        <v>男</v>
      </c>
      <c r="G2595" s="7" t="s">
        <v>2162</v>
      </c>
      <c r="H2595" s="8"/>
    </row>
    <row r="2596" ht="25" customHeight="1" spans="1:8">
      <c r="A2596" s="6">
        <v>2594</v>
      </c>
      <c r="B2596" s="7" t="str">
        <f t="shared" si="621"/>
        <v>105</v>
      </c>
      <c r="C2596" s="7" t="s">
        <v>2002</v>
      </c>
      <c r="D2596" s="7" t="s">
        <v>2003</v>
      </c>
      <c r="E2596" s="7" t="str">
        <f>"林俊武"</f>
        <v>林俊武</v>
      </c>
      <c r="F2596" s="7" t="str">
        <f t="shared" si="627"/>
        <v>男</v>
      </c>
      <c r="G2596" s="7" t="s">
        <v>744</v>
      </c>
      <c r="H2596" s="8"/>
    </row>
    <row r="2597" ht="25" customHeight="1" spans="1:8">
      <c r="A2597" s="6">
        <v>2595</v>
      </c>
      <c r="B2597" s="7" t="str">
        <f t="shared" si="621"/>
        <v>105</v>
      </c>
      <c r="C2597" s="7" t="s">
        <v>2002</v>
      </c>
      <c r="D2597" s="7" t="s">
        <v>2003</v>
      </c>
      <c r="E2597" s="7" t="str">
        <f>"蔡小滨"</f>
        <v>蔡小滨</v>
      </c>
      <c r="F2597" s="7" t="str">
        <f t="shared" si="627"/>
        <v>男</v>
      </c>
      <c r="G2597" s="7" t="s">
        <v>2163</v>
      </c>
      <c r="H2597" s="8"/>
    </row>
    <row r="2598" ht="25" customHeight="1" spans="1:8">
      <c r="A2598" s="6">
        <v>2596</v>
      </c>
      <c r="B2598" s="7" t="str">
        <f t="shared" si="621"/>
        <v>105</v>
      </c>
      <c r="C2598" s="7" t="s">
        <v>2002</v>
      </c>
      <c r="D2598" s="7" t="s">
        <v>2003</v>
      </c>
      <c r="E2598" s="7" t="str">
        <f>"刘心宇"</f>
        <v>刘心宇</v>
      </c>
      <c r="F2598" s="7" t="str">
        <f t="shared" ref="F2598:F2600" si="629">"女"</f>
        <v>女</v>
      </c>
      <c r="G2598" s="7" t="s">
        <v>2164</v>
      </c>
      <c r="H2598" s="8"/>
    </row>
    <row r="2599" ht="25" customHeight="1" spans="1:8">
      <c r="A2599" s="6">
        <v>2597</v>
      </c>
      <c r="B2599" s="7" t="str">
        <f t="shared" si="621"/>
        <v>105</v>
      </c>
      <c r="C2599" s="7" t="s">
        <v>2002</v>
      </c>
      <c r="D2599" s="7" t="s">
        <v>2003</v>
      </c>
      <c r="E2599" s="7" t="str">
        <f>"黎美辰"</f>
        <v>黎美辰</v>
      </c>
      <c r="F2599" s="7" t="str">
        <f t="shared" si="629"/>
        <v>女</v>
      </c>
      <c r="G2599" s="7" t="s">
        <v>2165</v>
      </c>
      <c r="H2599" s="8"/>
    </row>
    <row r="2600" ht="25" customHeight="1" spans="1:8">
      <c r="A2600" s="6">
        <v>2598</v>
      </c>
      <c r="B2600" s="7" t="str">
        <f t="shared" si="621"/>
        <v>105</v>
      </c>
      <c r="C2600" s="7" t="s">
        <v>2002</v>
      </c>
      <c r="D2600" s="7" t="s">
        <v>2003</v>
      </c>
      <c r="E2600" s="7" t="str">
        <f>"洪禾怡"</f>
        <v>洪禾怡</v>
      </c>
      <c r="F2600" s="7" t="str">
        <f t="shared" si="629"/>
        <v>女</v>
      </c>
      <c r="G2600" s="7" t="s">
        <v>2166</v>
      </c>
      <c r="H2600" s="8"/>
    </row>
    <row r="2601" ht="25" customHeight="1" spans="1:8">
      <c r="A2601" s="6">
        <v>2599</v>
      </c>
      <c r="B2601" s="7" t="str">
        <f t="shared" si="621"/>
        <v>105</v>
      </c>
      <c r="C2601" s="7" t="s">
        <v>2002</v>
      </c>
      <c r="D2601" s="7" t="s">
        <v>2003</v>
      </c>
      <c r="E2601" s="7" t="str">
        <f>"潘志强"</f>
        <v>潘志强</v>
      </c>
      <c r="F2601" s="7" t="str">
        <f>"男"</f>
        <v>男</v>
      </c>
      <c r="G2601" s="7" t="s">
        <v>1333</v>
      </c>
      <c r="H2601" s="8"/>
    </row>
    <row r="2602" ht="25" customHeight="1" spans="1:8">
      <c r="A2602" s="6">
        <v>2600</v>
      </c>
      <c r="B2602" s="7" t="str">
        <f t="shared" si="621"/>
        <v>105</v>
      </c>
      <c r="C2602" s="7" t="s">
        <v>2002</v>
      </c>
      <c r="D2602" s="7" t="s">
        <v>2003</v>
      </c>
      <c r="E2602" s="7" t="str">
        <f>"白鑫"</f>
        <v>白鑫</v>
      </c>
      <c r="F2602" s="7" t="str">
        <f t="shared" ref="F2602:F2604" si="630">"女"</f>
        <v>女</v>
      </c>
      <c r="G2602" s="7" t="s">
        <v>2167</v>
      </c>
      <c r="H2602" s="8"/>
    </row>
    <row r="2603" ht="25" customHeight="1" spans="1:8">
      <c r="A2603" s="6">
        <v>2601</v>
      </c>
      <c r="B2603" s="7" t="str">
        <f t="shared" si="621"/>
        <v>105</v>
      </c>
      <c r="C2603" s="7" t="s">
        <v>2002</v>
      </c>
      <c r="D2603" s="7" t="s">
        <v>2003</v>
      </c>
      <c r="E2603" s="7" t="str">
        <f>"王媚依"</f>
        <v>王媚依</v>
      </c>
      <c r="F2603" s="7" t="str">
        <f t="shared" si="630"/>
        <v>女</v>
      </c>
      <c r="G2603" s="7" t="s">
        <v>2168</v>
      </c>
      <c r="H2603" s="8"/>
    </row>
    <row r="2604" ht="25" customHeight="1" spans="1:8">
      <c r="A2604" s="6">
        <v>2602</v>
      </c>
      <c r="B2604" s="7" t="str">
        <f t="shared" si="621"/>
        <v>105</v>
      </c>
      <c r="C2604" s="7" t="s">
        <v>2002</v>
      </c>
      <c r="D2604" s="7" t="s">
        <v>2003</v>
      </c>
      <c r="E2604" s="7" t="str">
        <f>"陆明莹"</f>
        <v>陆明莹</v>
      </c>
      <c r="F2604" s="7" t="str">
        <f t="shared" si="630"/>
        <v>女</v>
      </c>
      <c r="G2604" s="7" t="s">
        <v>376</v>
      </c>
      <c r="H2604" s="8"/>
    </row>
    <row r="2605" ht="25" customHeight="1" spans="1:8">
      <c r="A2605" s="6">
        <v>2603</v>
      </c>
      <c r="B2605" s="7" t="str">
        <f t="shared" si="621"/>
        <v>105</v>
      </c>
      <c r="C2605" s="7" t="s">
        <v>2002</v>
      </c>
      <c r="D2605" s="7" t="s">
        <v>2003</v>
      </c>
      <c r="E2605" s="7" t="str">
        <f>"董卓越"</f>
        <v>董卓越</v>
      </c>
      <c r="F2605" s="7" t="str">
        <f t="shared" ref="F2605:F2612" si="631">"男"</f>
        <v>男</v>
      </c>
      <c r="G2605" s="7" t="s">
        <v>2169</v>
      </c>
      <c r="H2605" s="8"/>
    </row>
    <row r="2606" ht="25" customHeight="1" spans="1:8">
      <c r="A2606" s="6">
        <v>2604</v>
      </c>
      <c r="B2606" s="7" t="str">
        <f t="shared" si="621"/>
        <v>105</v>
      </c>
      <c r="C2606" s="7" t="s">
        <v>2002</v>
      </c>
      <c r="D2606" s="7" t="s">
        <v>2003</v>
      </c>
      <c r="E2606" s="7" t="str">
        <f>"彭四华"</f>
        <v>彭四华</v>
      </c>
      <c r="F2606" s="7" t="str">
        <f t="shared" ref="F2606:F2609" si="632">"女"</f>
        <v>女</v>
      </c>
      <c r="G2606" s="7" t="s">
        <v>2170</v>
      </c>
      <c r="H2606" s="8"/>
    </row>
    <row r="2607" ht="25" customHeight="1" spans="1:8">
      <c r="A2607" s="6">
        <v>2605</v>
      </c>
      <c r="B2607" s="7" t="str">
        <f t="shared" si="621"/>
        <v>105</v>
      </c>
      <c r="C2607" s="7" t="s">
        <v>2002</v>
      </c>
      <c r="D2607" s="7" t="s">
        <v>2003</v>
      </c>
      <c r="E2607" s="7" t="str">
        <f>"林峰"</f>
        <v>林峰</v>
      </c>
      <c r="F2607" s="7" t="str">
        <f t="shared" si="631"/>
        <v>男</v>
      </c>
      <c r="G2607" s="7" t="s">
        <v>2171</v>
      </c>
      <c r="H2607" s="8"/>
    </row>
    <row r="2608" ht="25" customHeight="1" spans="1:8">
      <c r="A2608" s="6">
        <v>2606</v>
      </c>
      <c r="B2608" s="7" t="str">
        <f t="shared" si="621"/>
        <v>105</v>
      </c>
      <c r="C2608" s="7" t="s">
        <v>2002</v>
      </c>
      <c r="D2608" s="7" t="s">
        <v>2003</v>
      </c>
      <c r="E2608" s="7" t="str">
        <f>"陈益顺"</f>
        <v>陈益顺</v>
      </c>
      <c r="F2608" s="7" t="str">
        <f t="shared" si="632"/>
        <v>女</v>
      </c>
      <c r="G2608" s="7" t="s">
        <v>1581</v>
      </c>
      <c r="H2608" s="8"/>
    </row>
    <row r="2609" ht="25" customHeight="1" spans="1:8">
      <c r="A2609" s="6">
        <v>2607</v>
      </c>
      <c r="B2609" s="7" t="str">
        <f t="shared" si="621"/>
        <v>105</v>
      </c>
      <c r="C2609" s="7" t="s">
        <v>2002</v>
      </c>
      <c r="D2609" s="7" t="s">
        <v>2003</v>
      </c>
      <c r="E2609" s="7" t="str">
        <f>"柯贤莉"</f>
        <v>柯贤莉</v>
      </c>
      <c r="F2609" s="7" t="str">
        <f t="shared" si="632"/>
        <v>女</v>
      </c>
      <c r="G2609" s="7" t="s">
        <v>830</v>
      </c>
      <c r="H2609" s="8"/>
    </row>
    <row r="2610" ht="25" customHeight="1" spans="1:8">
      <c r="A2610" s="6">
        <v>2608</v>
      </c>
      <c r="B2610" s="7" t="str">
        <f t="shared" si="621"/>
        <v>105</v>
      </c>
      <c r="C2610" s="7" t="s">
        <v>2002</v>
      </c>
      <c r="D2610" s="7" t="s">
        <v>2003</v>
      </c>
      <c r="E2610" s="7" t="str">
        <f>"邱俊霖"</f>
        <v>邱俊霖</v>
      </c>
      <c r="F2610" s="7" t="str">
        <f t="shared" si="631"/>
        <v>男</v>
      </c>
      <c r="G2610" s="7" t="s">
        <v>1308</v>
      </c>
      <c r="H2610" s="8"/>
    </row>
    <row r="2611" ht="25" customHeight="1" spans="1:8">
      <c r="A2611" s="6">
        <v>2609</v>
      </c>
      <c r="B2611" s="7" t="str">
        <f t="shared" si="621"/>
        <v>105</v>
      </c>
      <c r="C2611" s="7" t="s">
        <v>2002</v>
      </c>
      <c r="D2611" s="7" t="s">
        <v>2003</v>
      </c>
      <c r="E2611" s="7" t="str">
        <f>"林圣诗"</f>
        <v>林圣诗</v>
      </c>
      <c r="F2611" s="7" t="str">
        <f t="shared" si="631"/>
        <v>男</v>
      </c>
      <c r="G2611" s="7" t="s">
        <v>36</v>
      </c>
      <c r="H2611" s="8"/>
    </row>
    <row r="2612" ht="25" customHeight="1" spans="1:8">
      <c r="A2612" s="6">
        <v>2610</v>
      </c>
      <c r="B2612" s="7" t="str">
        <f t="shared" si="621"/>
        <v>105</v>
      </c>
      <c r="C2612" s="7" t="s">
        <v>2002</v>
      </c>
      <c r="D2612" s="7" t="s">
        <v>2003</v>
      </c>
      <c r="E2612" s="7" t="str">
        <f>"詹广骏"</f>
        <v>詹广骏</v>
      </c>
      <c r="F2612" s="7" t="str">
        <f t="shared" si="631"/>
        <v>男</v>
      </c>
      <c r="G2612" s="7" t="s">
        <v>2172</v>
      </c>
      <c r="H2612" s="8"/>
    </row>
    <row r="2613" ht="25" customHeight="1" spans="1:8">
      <c r="A2613" s="6">
        <v>2611</v>
      </c>
      <c r="B2613" s="7" t="str">
        <f t="shared" si="621"/>
        <v>105</v>
      </c>
      <c r="C2613" s="7" t="s">
        <v>2002</v>
      </c>
      <c r="D2613" s="7" t="s">
        <v>2003</v>
      </c>
      <c r="E2613" s="7" t="str">
        <f>"林慧婷"</f>
        <v>林慧婷</v>
      </c>
      <c r="F2613" s="7" t="str">
        <f t="shared" ref="F2613:F2620" si="633">"女"</f>
        <v>女</v>
      </c>
      <c r="G2613" s="7" t="s">
        <v>2173</v>
      </c>
      <c r="H2613" s="8"/>
    </row>
    <row r="2614" ht="25" customHeight="1" spans="1:8">
      <c r="A2614" s="6">
        <v>2612</v>
      </c>
      <c r="B2614" s="7" t="str">
        <f t="shared" si="621"/>
        <v>105</v>
      </c>
      <c r="C2614" s="7" t="s">
        <v>2002</v>
      </c>
      <c r="D2614" s="7" t="s">
        <v>2003</v>
      </c>
      <c r="E2614" s="7" t="str">
        <f>"林声友"</f>
        <v>林声友</v>
      </c>
      <c r="F2614" s="7" t="str">
        <f>"男"</f>
        <v>男</v>
      </c>
      <c r="G2614" s="7" t="s">
        <v>1626</v>
      </c>
      <c r="H2614" s="8"/>
    </row>
    <row r="2615" ht="25" customHeight="1" spans="1:8">
      <c r="A2615" s="6">
        <v>2613</v>
      </c>
      <c r="B2615" s="7" t="str">
        <f t="shared" si="621"/>
        <v>105</v>
      </c>
      <c r="C2615" s="7" t="s">
        <v>2002</v>
      </c>
      <c r="D2615" s="7" t="s">
        <v>2003</v>
      </c>
      <c r="E2615" s="7" t="str">
        <f>"张腾"</f>
        <v>张腾</v>
      </c>
      <c r="F2615" s="7" t="str">
        <f t="shared" si="633"/>
        <v>女</v>
      </c>
      <c r="G2615" s="7" t="s">
        <v>2174</v>
      </c>
      <c r="H2615" s="8"/>
    </row>
    <row r="2616" ht="25" customHeight="1" spans="1:8">
      <c r="A2616" s="6">
        <v>2614</v>
      </c>
      <c r="B2616" s="7" t="str">
        <f t="shared" si="621"/>
        <v>105</v>
      </c>
      <c r="C2616" s="7" t="s">
        <v>2002</v>
      </c>
      <c r="D2616" s="7" t="s">
        <v>2003</v>
      </c>
      <c r="E2616" s="7" t="str">
        <f>"李生乐"</f>
        <v>李生乐</v>
      </c>
      <c r="F2616" s="7" t="str">
        <f>"男"</f>
        <v>男</v>
      </c>
      <c r="G2616" s="7" t="s">
        <v>2175</v>
      </c>
      <c r="H2616" s="8"/>
    </row>
    <row r="2617" ht="25" customHeight="1" spans="1:8">
      <c r="A2617" s="6">
        <v>2615</v>
      </c>
      <c r="B2617" s="7" t="str">
        <f t="shared" si="621"/>
        <v>105</v>
      </c>
      <c r="C2617" s="7" t="s">
        <v>2002</v>
      </c>
      <c r="D2617" s="7" t="s">
        <v>2003</v>
      </c>
      <c r="E2617" s="7" t="str">
        <f>"吴曼琪"</f>
        <v>吴曼琪</v>
      </c>
      <c r="F2617" s="7" t="str">
        <f t="shared" si="633"/>
        <v>女</v>
      </c>
      <c r="G2617" s="7" t="s">
        <v>2176</v>
      </c>
      <c r="H2617" s="8"/>
    </row>
    <row r="2618" ht="25" customHeight="1" spans="1:8">
      <c r="A2618" s="6">
        <v>2616</v>
      </c>
      <c r="B2618" s="7" t="str">
        <f t="shared" si="621"/>
        <v>105</v>
      </c>
      <c r="C2618" s="7" t="s">
        <v>2002</v>
      </c>
      <c r="D2618" s="7" t="s">
        <v>2003</v>
      </c>
      <c r="E2618" s="7" t="str">
        <f>"蔡亲婕"</f>
        <v>蔡亲婕</v>
      </c>
      <c r="F2618" s="7" t="str">
        <f t="shared" si="633"/>
        <v>女</v>
      </c>
      <c r="G2618" s="7" t="s">
        <v>2177</v>
      </c>
      <c r="H2618" s="8"/>
    </row>
    <row r="2619" ht="25" customHeight="1" spans="1:8">
      <c r="A2619" s="6">
        <v>2617</v>
      </c>
      <c r="B2619" s="7" t="str">
        <f t="shared" si="621"/>
        <v>105</v>
      </c>
      <c r="C2619" s="7" t="s">
        <v>2002</v>
      </c>
      <c r="D2619" s="7" t="s">
        <v>2003</v>
      </c>
      <c r="E2619" s="7" t="str">
        <f>"陈燕艳"</f>
        <v>陈燕艳</v>
      </c>
      <c r="F2619" s="7" t="str">
        <f t="shared" si="633"/>
        <v>女</v>
      </c>
      <c r="G2619" s="7" t="s">
        <v>2178</v>
      </c>
      <c r="H2619" s="8"/>
    </row>
    <row r="2620" ht="25" customHeight="1" spans="1:8">
      <c r="A2620" s="6">
        <v>2618</v>
      </c>
      <c r="B2620" s="7" t="str">
        <f t="shared" si="621"/>
        <v>105</v>
      </c>
      <c r="C2620" s="7" t="s">
        <v>2002</v>
      </c>
      <c r="D2620" s="7" t="s">
        <v>2003</v>
      </c>
      <c r="E2620" s="7" t="str">
        <f>"李格"</f>
        <v>李格</v>
      </c>
      <c r="F2620" s="7" t="str">
        <f t="shared" si="633"/>
        <v>女</v>
      </c>
      <c r="G2620" s="7" t="s">
        <v>2179</v>
      </c>
      <c r="H2620" s="8"/>
    </row>
    <row r="2621" ht="25" customHeight="1" spans="1:8">
      <c r="A2621" s="6">
        <v>2619</v>
      </c>
      <c r="B2621" s="7" t="str">
        <f t="shared" si="621"/>
        <v>105</v>
      </c>
      <c r="C2621" s="7" t="s">
        <v>2002</v>
      </c>
      <c r="D2621" s="7" t="s">
        <v>2003</v>
      </c>
      <c r="E2621" s="7" t="str">
        <f>"林炜皓"</f>
        <v>林炜皓</v>
      </c>
      <c r="F2621" s="7" t="str">
        <f>"男"</f>
        <v>男</v>
      </c>
      <c r="G2621" s="7" t="s">
        <v>2180</v>
      </c>
      <c r="H2621" s="8"/>
    </row>
    <row r="2622" ht="25" customHeight="1" spans="1:8">
      <c r="A2622" s="6">
        <v>2620</v>
      </c>
      <c r="B2622" s="7" t="str">
        <f t="shared" si="621"/>
        <v>105</v>
      </c>
      <c r="C2622" s="7" t="s">
        <v>2002</v>
      </c>
      <c r="D2622" s="7" t="s">
        <v>2003</v>
      </c>
      <c r="E2622" s="7" t="str">
        <f>"王妍冰"</f>
        <v>王妍冰</v>
      </c>
      <c r="F2622" s="7" t="str">
        <f t="shared" ref="F2622:F2626" si="634">"女"</f>
        <v>女</v>
      </c>
      <c r="G2622" s="7" t="s">
        <v>2181</v>
      </c>
      <c r="H2622" s="8"/>
    </row>
    <row r="2623" ht="25" customHeight="1" spans="1:8">
      <c r="A2623" s="6">
        <v>2621</v>
      </c>
      <c r="B2623" s="7" t="str">
        <f t="shared" si="621"/>
        <v>105</v>
      </c>
      <c r="C2623" s="7" t="s">
        <v>2002</v>
      </c>
      <c r="D2623" s="7" t="s">
        <v>2003</v>
      </c>
      <c r="E2623" s="7" t="str">
        <f>"姚怡君"</f>
        <v>姚怡君</v>
      </c>
      <c r="F2623" s="7" t="str">
        <f t="shared" si="634"/>
        <v>女</v>
      </c>
      <c r="G2623" s="7" t="s">
        <v>2182</v>
      </c>
      <c r="H2623" s="8"/>
    </row>
    <row r="2624" ht="25" customHeight="1" spans="1:8">
      <c r="A2624" s="6">
        <v>2622</v>
      </c>
      <c r="B2624" s="7" t="str">
        <f t="shared" si="621"/>
        <v>105</v>
      </c>
      <c r="C2624" s="7" t="s">
        <v>2002</v>
      </c>
      <c r="D2624" s="7" t="s">
        <v>2003</v>
      </c>
      <c r="E2624" s="7" t="str">
        <f>"冉胜男"</f>
        <v>冉胜男</v>
      </c>
      <c r="F2624" s="7" t="str">
        <f t="shared" si="634"/>
        <v>女</v>
      </c>
      <c r="G2624" s="7" t="s">
        <v>2183</v>
      </c>
      <c r="H2624" s="8"/>
    </row>
    <row r="2625" ht="25" customHeight="1" spans="1:8">
      <c r="A2625" s="6">
        <v>2623</v>
      </c>
      <c r="B2625" s="7" t="str">
        <f t="shared" si="621"/>
        <v>105</v>
      </c>
      <c r="C2625" s="7" t="s">
        <v>2002</v>
      </c>
      <c r="D2625" s="7" t="s">
        <v>2003</v>
      </c>
      <c r="E2625" s="7" t="str">
        <f>"朱红娟"</f>
        <v>朱红娟</v>
      </c>
      <c r="F2625" s="7" t="str">
        <f t="shared" si="634"/>
        <v>女</v>
      </c>
      <c r="G2625" s="7" t="s">
        <v>2184</v>
      </c>
      <c r="H2625" s="8"/>
    </row>
    <row r="2626" ht="25" customHeight="1" spans="1:8">
      <c r="A2626" s="6">
        <v>2624</v>
      </c>
      <c r="B2626" s="7" t="str">
        <f t="shared" si="621"/>
        <v>105</v>
      </c>
      <c r="C2626" s="7" t="s">
        <v>2002</v>
      </c>
      <c r="D2626" s="7" t="s">
        <v>2003</v>
      </c>
      <c r="E2626" s="7" t="str">
        <f>"陈亿"</f>
        <v>陈亿</v>
      </c>
      <c r="F2626" s="7" t="str">
        <f t="shared" si="634"/>
        <v>女</v>
      </c>
      <c r="G2626" s="7" t="s">
        <v>1587</v>
      </c>
      <c r="H2626" s="8"/>
    </row>
    <row r="2627" ht="25" customHeight="1" spans="1:8">
      <c r="A2627" s="6">
        <v>2625</v>
      </c>
      <c r="B2627" s="7" t="str">
        <f t="shared" si="621"/>
        <v>105</v>
      </c>
      <c r="C2627" s="7" t="s">
        <v>2002</v>
      </c>
      <c r="D2627" s="7" t="s">
        <v>2003</v>
      </c>
      <c r="E2627" s="7" t="str">
        <f>"何永杰"</f>
        <v>何永杰</v>
      </c>
      <c r="F2627" s="7" t="str">
        <f>"男"</f>
        <v>男</v>
      </c>
      <c r="G2627" s="7" t="s">
        <v>2185</v>
      </c>
      <c r="H2627" s="8"/>
    </row>
    <row r="2628" ht="25" customHeight="1" spans="1:8">
      <c r="A2628" s="6">
        <v>2626</v>
      </c>
      <c r="B2628" s="7" t="str">
        <f t="shared" ref="B2628:B2691" si="635">"105"</f>
        <v>105</v>
      </c>
      <c r="C2628" s="7" t="s">
        <v>2002</v>
      </c>
      <c r="D2628" s="7" t="s">
        <v>2003</v>
      </c>
      <c r="E2628" s="7" t="str">
        <f>"钟金妃"</f>
        <v>钟金妃</v>
      </c>
      <c r="F2628" s="7" t="str">
        <f t="shared" ref="F2628:F2632" si="636">"女"</f>
        <v>女</v>
      </c>
      <c r="G2628" s="7" t="s">
        <v>2186</v>
      </c>
      <c r="H2628" s="8"/>
    </row>
    <row r="2629" ht="25" customHeight="1" spans="1:8">
      <c r="A2629" s="6">
        <v>2627</v>
      </c>
      <c r="B2629" s="7" t="str">
        <f t="shared" si="635"/>
        <v>105</v>
      </c>
      <c r="C2629" s="7" t="s">
        <v>2002</v>
      </c>
      <c r="D2629" s="7" t="s">
        <v>2003</v>
      </c>
      <c r="E2629" s="7" t="str">
        <f>"桂莎江"</f>
        <v>桂莎江</v>
      </c>
      <c r="F2629" s="7" t="str">
        <f t="shared" si="636"/>
        <v>女</v>
      </c>
      <c r="G2629" s="7" t="s">
        <v>2187</v>
      </c>
      <c r="H2629" s="8"/>
    </row>
    <row r="2630" ht="25" customHeight="1" spans="1:8">
      <c r="A2630" s="6">
        <v>2628</v>
      </c>
      <c r="B2630" s="7" t="str">
        <f t="shared" si="635"/>
        <v>105</v>
      </c>
      <c r="C2630" s="7" t="s">
        <v>2002</v>
      </c>
      <c r="D2630" s="7" t="s">
        <v>2003</v>
      </c>
      <c r="E2630" s="7" t="str">
        <f>"王运洪"</f>
        <v>王运洪</v>
      </c>
      <c r="F2630" s="7" t="str">
        <f t="shared" ref="F2630:F2635" si="637">"男"</f>
        <v>男</v>
      </c>
      <c r="G2630" s="7" t="s">
        <v>2188</v>
      </c>
      <c r="H2630" s="8"/>
    </row>
    <row r="2631" ht="25" customHeight="1" spans="1:8">
      <c r="A2631" s="6">
        <v>2629</v>
      </c>
      <c r="B2631" s="7" t="str">
        <f t="shared" si="635"/>
        <v>105</v>
      </c>
      <c r="C2631" s="7" t="s">
        <v>2002</v>
      </c>
      <c r="D2631" s="7" t="s">
        <v>2003</v>
      </c>
      <c r="E2631" s="7" t="str">
        <f>"王玲棉"</f>
        <v>王玲棉</v>
      </c>
      <c r="F2631" s="7" t="str">
        <f t="shared" si="636"/>
        <v>女</v>
      </c>
      <c r="G2631" s="7" t="s">
        <v>2189</v>
      </c>
      <c r="H2631" s="8"/>
    </row>
    <row r="2632" ht="25" customHeight="1" spans="1:8">
      <c r="A2632" s="6">
        <v>2630</v>
      </c>
      <c r="B2632" s="7" t="str">
        <f t="shared" si="635"/>
        <v>105</v>
      </c>
      <c r="C2632" s="7" t="s">
        <v>2002</v>
      </c>
      <c r="D2632" s="7" t="s">
        <v>2003</v>
      </c>
      <c r="E2632" s="7" t="str">
        <f>"付嘉怡"</f>
        <v>付嘉怡</v>
      </c>
      <c r="F2632" s="7" t="str">
        <f t="shared" si="636"/>
        <v>女</v>
      </c>
      <c r="G2632" s="7" t="s">
        <v>1818</v>
      </c>
      <c r="H2632" s="8"/>
    </row>
    <row r="2633" ht="25" customHeight="1" spans="1:8">
      <c r="A2633" s="6">
        <v>2631</v>
      </c>
      <c r="B2633" s="7" t="str">
        <f t="shared" si="635"/>
        <v>105</v>
      </c>
      <c r="C2633" s="7" t="s">
        <v>2002</v>
      </c>
      <c r="D2633" s="7" t="s">
        <v>2003</v>
      </c>
      <c r="E2633" s="7" t="str">
        <f>"吴茏"</f>
        <v>吴茏</v>
      </c>
      <c r="F2633" s="7" t="str">
        <f t="shared" si="637"/>
        <v>男</v>
      </c>
      <c r="G2633" s="7" t="s">
        <v>2190</v>
      </c>
      <c r="H2633" s="8"/>
    </row>
    <row r="2634" ht="25" customHeight="1" spans="1:8">
      <c r="A2634" s="6">
        <v>2632</v>
      </c>
      <c r="B2634" s="7" t="str">
        <f t="shared" si="635"/>
        <v>105</v>
      </c>
      <c r="C2634" s="7" t="s">
        <v>2002</v>
      </c>
      <c r="D2634" s="7" t="s">
        <v>2003</v>
      </c>
      <c r="E2634" s="7" t="str">
        <f>"陆煜"</f>
        <v>陆煜</v>
      </c>
      <c r="F2634" s="7" t="str">
        <f t="shared" si="637"/>
        <v>男</v>
      </c>
      <c r="G2634" s="7" t="s">
        <v>1074</v>
      </c>
      <c r="H2634" s="8"/>
    </row>
    <row r="2635" ht="25" customHeight="1" spans="1:8">
      <c r="A2635" s="6">
        <v>2633</v>
      </c>
      <c r="B2635" s="7" t="str">
        <f t="shared" si="635"/>
        <v>105</v>
      </c>
      <c r="C2635" s="7" t="s">
        <v>2002</v>
      </c>
      <c r="D2635" s="7" t="s">
        <v>2003</v>
      </c>
      <c r="E2635" s="7" t="str">
        <f>"王孔檀"</f>
        <v>王孔檀</v>
      </c>
      <c r="F2635" s="7" t="str">
        <f t="shared" si="637"/>
        <v>男</v>
      </c>
      <c r="G2635" s="7" t="s">
        <v>2191</v>
      </c>
      <c r="H2635" s="8"/>
    </row>
    <row r="2636" ht="25" customHeight="1" spans="1:8">
      <c r="A2636" s="6">
        <v>2634</v>
      </c>
      <c r="B2636" s="7" t="str">
        <f t="shared" si="635"/>
        <v>105</v>
      </c>
      <c r="C2636" s="7" t="s">
        <v>2002</v>
      </c>
      <c r="D2636" s="7" t="s">
        <v>2003</v>
      </c>
      <c r="E2636" s="7" t="str">
        <f>"王小珏"</f>
        <v>王小珏</v>
      </c>
      <c r="F2636" s="7" t="str">
        <f t="shared" ref="F2636:F2642" si="638">"女"</f>
        <v>女</v>
      </c>
      <c r="G2636" s="7" t="s">
        <v>1692</v>
      </c>
      <c r="H2636" s="8"/>
    </row>
    <row r="2637" ht="25" customHeight="1" spans="1:8">
      <c r="A2637" s="6">
        <v>2635</v>
      </c>
      <c r="B2637" s="7" t="str">
        <f t="shared" si="635"/>
        <v>105</v>
      </c>
      <c r="C2637" s="7" t="s">
        <v>2002</v>
      </c>
      <c r="D2637" s="7" t="s">
        <v>2003</v>
      </c>
      <c r="E2637" s="7" t="str">
        <f>"张力丹"</f>
        <v>张力丹</v>
      </c>
      <c r="F2637" s="7" t="str">
        <f t="shared" si="638"/>
        <v>女</v>
      </c>
      <c r="G2637" s="7" t="s">
        <v>2192</v>
      </c>
      <c r="H2637" s="8"/>
    </row>
    <row r="2638" ht="25" customHeight="1" spans="1:8">
      <c r="A2638" s="6">
        <v>2636</v>
      </c>
      <c r="B2638" s="7" t="str">
        <f t="shared" si="635"/>
        <v>105</v>
      </c>
      <c r="C2638" s="7" t="s">
        <v>2002</v>
      </c>
      <c r="D2638" s="7" t="s">
        <v>2003</v>
      </c>
      <c r="E2638" s="7" t="str">
        <f>"彭崇彬"</f>
        <v>彭崇彬</v>
      </c>
      <c r="F2638" s="7" t="str">
        <f>"男"</f>
        <v>男</v>
      </c>
      <c r="G2638" s="7" t="s">
        <v>1353</v>
      </c>
      <c r="H2638" s="8"/>
    </row>
    <row r="2639" ht="25" customHeight="1" spans="1:8">
      <c r="A2639" s="6">
        <v>2637</v>
      </c>
      <c r="B2639" s="7" t="str">
        <f t="shared" si="635"/>
        <v>105</v>
      </c>
      <c r="C2639" s="7" t="s">
        <v>2002</v>
      </c>
      <c r="D2639" s="7" t="s">
        <v>2003</v>
      </c>
      <c r="E2639" s="7" t="str">
        <f>"鲍丽萍"</f>
        <v>鲍丽萍</v>
      </c>
      <c r="F2639" s="7" t="str">
        <f t="shared" si="638"/>
        <v>女</v>
      </c>
      <c r="G2639" s="7" t="s">
        <v>2193</v>
      </c>
      <c r="H2639" s="8"/>
    </row>
    <row r="2640" ht="25" customHeight="1" spans="1:8">
      <c r="A2640" s="6">
        <v>2638</v>
      </c>
      <c r="B2640" s="7" t="str">
        <f t="shared" si="635"/>
        <v>105</v>
      </c>
      <c r="C2640" s="7" t="s">
        <v>2002</v>
      </c>
      <c r="D2640" s="7" t="s">
        <v>2003</v>
      </c>
      <c r="E2640" s="7" t="str">
        <f>"蔡佳娱"</f>
        <v>蔡佳娱</v>
      </c>
      <c r="F2640" s="7" t="str">
        <f t="shared" si="638"/>
        <v>女</v>
      </c>
      <c r="G2640" s="7" t="s">
        <v>2194</v>
      </c>
      <c r="H2640" s="8"/>
    </row>
    <row r="2641" ht="25" customHeight="1" spans="1:8">
      <c r="A2641" s="6">
        <v>2639</v>
      </c>
      <c r="B2641" s="7" t="str">
        <f t="shared" si="635"/>
        <v>105</v>
      </c>
      <c r="C2641" s="7" t="s">
        <v>2002</v>
      </c>
      <c r="D2641" s="7" t="s">
        <v>2003</v>
      </c>
      <c r="E2641" s="7" t="str">
        <f>"周妍"</f>
        <v>周妍</v>
      </c>
      <c r="F2641" s="7" t="str">
        <f t="shared" si="638"/>
        <v>女</v>
      </c>
      <c r="G2641" s="7" t="s">
        <v>240</v>
      </c>
      <c r="H2641" s="8"/>
    </row>
    <row r="2642" ht="25" customHeight="1" spans="1:8">
      <c r="A2642" s="6">
        <v>2640</v>
      </c>
      <c r="B2642" s="7" t="str">
        <f t="shared" si="635"/>
        <v>105</v>
      </c>
      <c r="C2642" s="7" t="s">
        <v>2002</v>
      </c>
      <c r="D2642" s="7" t="s">
        <v>2003</v>
      </c>
      <c r="E2642" s="7" t="str">
        <f>"罗钰"</f>
        <v>罗钰</v>
      </c>
      <c r="F2642" s="7" t="str">
        <f t="shared" si="638"/>
        <v>女</v>
      </c>
      <c r="G2642" s="7" t="s">
        <v>2195</v>
      </c>
      <c r="H2642" s="8"/>
    </row>
    <row r="2643" ht="25" customHeight="1" spans="1:8">
      <c r="A2643" s="6">
        <v>2641</v>
      </c>
      <c r="B2643" s="7" t="str">
        <f t="shared" si="635"/>
        <v>105</v>
      </c>
      <c r="C2643" s="7" t="s">
        <v>2002</v>
      </c>
      <c r="D2643" s="7" t="s">
        <v>2003</v>
      </c>
      <c r="E2643" s="7" t="str">
        <f>"杨成超"</f>
        <v>杨成超</v>
      </c>
      <c r="F2643" s="7" t="str">
        <f t="shared" ref="F2643:F2645" si="639">"男"</f>
        <v>男</v>
      </c>
      <c r="G2643" s="7" t="s">
        <v>2196</v>
      </c>
      <c r="H2643" s="8"/>
    </row>
    <row r="2644" ht="25" customHeight="1" spans="1:8">
      <c r="A2644" s="6">
        <v>2642</v>
      </c>
      <c r="B2644" s="7" t="str">
        <f t="shared" si="635"/>
        <v>105</v>
      </c>
      <c r="C2644" s="7" t="s">
        <v>2002</v>
      </c>
      <c r="D2644" s="7" t="s">
        <v>2003</v>
      </c>
      <c r="E2644" s="7" t="str">
        <f>"游淑鹏"</f>
        <v>游淑鹏</v>
      </c>
      <c r="F2644" s="7" t="str">
        <f t="shared" si="639"/>
        <v>男</v>
      </c>
      <c r="G2644" s="7" t="s">
        <v>2188</v>
      </c>
      <c r="H2644" s="8"/>
    </row>
    <row r="2645" ht="25" customHeight="1" spans="1:8">
      <c r="A2645" s="6">
        <v>2643</v>
      </c>
      <c r="B2645" s="7" t="str">
        <f t="shared" si="635"/>
        <v>105</v>
      </c>
      <c r="C2645" s="7" t="s">
        <v>2002</v>
      </c>
      <c r="D2645" s="7" t="s">
        <v>2003</v>
      </c>
      <c r="E2645" s="7" t="str">
        <f>"梁涵勃"</f>
        <v>梁涵勃</v>
      </c>
      <c r="F2645" s="7" t="str">
        <f t="shared" si="639"/>
        <v>男</v>
      </c>
      <c r="G2645" s="7" t="s">
        <v>2197</v>
      </c>
      <c r="H2645" s="8"/>
    </row>
    <row r="2646" ht="25" customHeight="1" spans="1:8">
      <c r="A2646" s="6">
        <v>2644</v>
      </c>
      <c r="B2646" s="7" t="str">
        <f t="shared" si="635"/>
        <v>105</v>
      </c>
      <c r="C2646" s="7" t="s">
        <v>2002</v>
      </c>
      <c r="D2646" s="7" t="s">
        <v>2003</v>
      </c>
      <c r="E2646" s="7" t="str">
        <f>"符金莎"</f>
        <v>符金莎</v>
      </c>
      <c r="F2646" s="7" t="str">
        <f t="shared" ref="F2646:F2650" si="640">"女"</f>
        <v>女</v>
      </c>
      <c r="G2646" s="7" t="s">
        <v>2198</v>
      </c>
      <c r="H2646" s="8"/>
    </row>
    <row r="2647" ht="25" customHeight="1" spans="1:8">
      <c r="A2647" s="6">
        <v>2645</v>
      </c>
      <c r="B2647" s="7" t="str">
        <f t="shared" si="635"/>
        <v>105</v>
      </c>
      <c r="C2647" s="7" t="s">
        <v>2002</v>
      </c>
      <c r="D2647" s="7" t="s">
        <v>2003</v>
      </c>
      <c r="E2647" s="7" t="str">
        <f>"高露丹"</f>
        <v>高露丹</v>
      </c>
      <c r="F2647" s="7" t="str">
        <f t="shared" si="640"/>
        <v>女</v>
      </c>
      <c r="G2647" s="7" t="s">
        <v>871</v>
      </c>
      <c r="H2647" s="8"/>
    </row>
    <row r="2648" ht="25" customHeight="1" spans="1:8">
      <c r="A2648" s="6">
        <v>2646</v>
      </c>
      <c r="B2648" s="7" t="str">
        <f t="shared" si="635"/>
        <v>105</v>
      </c>
      <c r="C2648" s="7" t="s">
        <v>2002</v>
      </c>
      <c r="D2648" s="7" t="s">
        <v>2003</v>
      </c>
      <c r="E2648" s="7" t="str">
        <f>"冯琼浩"</f>
        <v>冯琼浩</v>
      </c>
      <c r="F2648" s="7" t="str">
        <f t="shared" ref="F2648:F2653" si="641">"男"</f>
        <v>男</v>
      </c>
      <c r="G2648" s="7" t="s">
        <v>1377</v>
      </c>
      <c r="H2648" s="8"/>
    </row>
    <row r="2649" ht="25" customHeight="1" spans="1:8">
      <c r="A2649" s="6">
        <v>2647</v>
      </c>
      <c r="B2649" s="7" t="str">
        <f t="shared" si="635"/>
        <v>105</v>
      </c>
      <c r="C2649" s="7" t="s">
        <v>2002</v>
      </c>
      <c r="D2649" s="7" t="s">
        <v>2003</v>
      </c>
      <c r="E2649" s="7" t="str">
        <f>"刘晓贝"</f>
        <v>刘晓贝</v>
      </c>
      <c r="F2649" s="7" t="str">
        <f t="shared" si="640"/>
        <v>女</v>
      </c>
      <c r="G2649" s="7" t="s">
        <v>2199</v>
      </c>
      <c r="H2649" s="8"/>
    </row>
    <row r="2650" ht="25" customHeight="1" spans="1:8">
      <c r="A2650" s="6">
        <v>2648</v>
      </c>
      <c r="B2650" s="7" t="str">
        <f t="shared" si="635"/>
        <v>105</v>
      </c>
      <c r="C2650" s="7" t="s">
        <v>2002</v>
      </c>
      <c r="D2650" s="7" t="s">
        <v>2003</v>
      </c>
      <c r="E2650" s="7" t="str">
        <f>"金玉中"</f>
        <v>金玉中</v>
      </c>
      <c r="F2650" s="7" t="str">
        <f t="shared" si="640"/>
        <v>女</v>
      </c>
      <c r="G2650" s="7" t="s">
        <v>2200</v>
      </c>
      <c r="H2650" s="8"/>
    </row>
    <row r="2651" ht="25" customHeight="1" spans="1:8">
      <c r="A2651" s="6">
        <v>2649</v>
      </c>
      <c r="B2651" s="7" t="str">
        <f t="shared" si="635"/>
        <v>105</v>
      </c>
      <c r="C2651" s="7" t="s">
        <v>2002</v>
      </c>
      <c r="D2651" s="7" t="s">
        <v>2003</v>
      </c>
      <c r="E2651" s="7" t="str">
        <f>"叶绵圳"</f>
        <v>叶绵圳</v>
      </c>
      <c r="F2651" s="7" t="str">
        <f t="shared" si="641"/>
        <v>男</v>
      </c>
      <c r="G2651" s="7" t="s">
        <v>1353</v>
      </c>
      <c r="H2651" s="8"/>
    </row>
    <row r="2652" ht="25" customHeight="1" spans="1:8">
      <c r="A2652" s="6">
        <v>2650</v>
      </c>
      <c r="B2652" s="7" t="str">
        <f t="shared" si="635"/>
        <v>105</v>
      </c>
      <c r="C2652" s="7" t="s">
        <v>2002</v>
      </c>
      <c r="D2652" s="7" t="s">
        <v>2003</v>
      </c>
      <c r="E2652" s="7" t="str">
        <f>"耿美旗"</f>
        <v>耿美旗</v>
      </c>
      <c r="F2652" s="7" t="str">
        <f t="shared" ref="F2652:F2658" si="642">"女"</f>
        <v>女</v>
      </c>
      <c r="G2652" s="7" t="s">
        <v>2201</v>
      </c>
      <c r="H2652" s="8"/>
    </row>
    <row r="2653" ht="25" customHeight="1" spans="1:8">
      <c r="A2653" s="6">
        <v>2651</v>
      </c>
      <c r="B2653" s="7" t="str">
        <f t="shared" si="635"/>
        <v>105</v>
      </c>
      <c r="C2653" s="7" t="s">
        <v>2002</v>
      </c>
      <c r="D2653" s="7" t="s">
        <v>2003</v>
      </c>
      <c r="E2653" s="7" t="str">
        <f>"胡海洋"</f>
        <v>胡海洋</v>
      </c>
      <c r="F2653" s="7" t="str">
        <f t="shared" si="641"/>
        <v>男</v>
      </c>
      <c r="G2653" s="7" t="s">
        <v>2202</v>
      </c>
      <c r="H2653" s="8"/>
    </row>
    <row r="2654" ht="25" customHeight="1" spans="1:8">
      <c r="A2654" s="6">
        <v>2652</v>
      </c>
      <c r="B2654" s="7" t="str">
        <f t="shared" si="635"/>
        <v>105</v>
      </c>
      <c r="C2654" s="7" t="s">
        <v>2002</v>
      </c>
      <c r="D2654" s="7" t="s">
        <v>2003</v>
      </c>
      <c r="E2654" s="7" t="str">
        <f>"吴怡婷"</f>
        <v>吴怡婷</v>
      </c>
      <c r="F2654" s="7" t="str">
        <f t="shared" si="642"/>
        <v>女</v>
      </c>
      <c r="G2654" s="7" t="s">
        <v>2203</v>
      </c>
      <c r="H2654" s="8"/>
    </row>
    <row r="2655" ht="25" customHeight="1" spans="1:8">
      <c r="A2655" s="6">
        <v>2653</v>
      </c>
      <c r="B2655" s="7" t="str">
        <f t="shared" si="635"/>
        <v>105</v>
      </c>
      <c r="C2655" s="7" t="s">
        <v>2002</v>
      </c>
      <c r="D2655" s="7" t="s">
        <v>2003</v>
      </c>
      <c r="E2655" s="7" t="str">
        <f>"黄丽逵"</f>
        <v>黄丽逵</v>
      </c>
      <c r="F2655" s="7" t="str">
        <f t="shared" si="642"/>
        <v>女</v>
      </c>
      <c r="G2655" s="7" t="s">
        <v>1933</v>
      </c>
      <c r="H2655" s="8"/>
    </row>
    <row r="2656" ht="25" customHeight="1" spans="1:8">
      <c r="A2656" s="6">
        <v>2654</v>
      </c>
      <c r="B2656" s="7" t="str">
        <f t="shared" si="635"/>
        <v>105</v>
      </c>
      <c r="C2656" s="7" t="s">
        <v>2002</v>
      </c>
      <c r="D2656" s="7" t="s">
        <v>2003</v>
      </c>
      <c r="E2656" s="7" t="str">
        <f>"刘皎"</f>
        <v>刘皎</v>
      </c>
      <c r="F2656" s="7" t="str">
        <f t="shared" si="642"/>
        <v>女</v>
      </c>
      <c r="G2656" s="7" t="s">
        <v>2204</v>
      </c>
      <c r="H2656" s="8"/>
    </row>
    <row r="2657" ht="25" customHeight="1" spans="1:8">
      <c r="A2657" s="6">
        <v>2655</v>
      </c>
      <c r="B2657" s="7" t="str">
        <f t="shared" si="635"/>
        <v>105</v>
      </c>
      <c r="C2657" s="7" t="s">
        <v>2002</v>
      </c>
      <c r="D2657" s="7" t="s">
        <v>2003</v>
      </c>
      <c r="E2657" s="7" t="str">
        <f>"陈卓凡"</f>
        <v>陈卓凡</v>
      </c>
      <c r="F2657" s="7" t="str">
        <f t="shared" si="642"/>
        <v>女</v>
      </c>
      <c r="G2657" s="7" t="s">
        <v>2205</v>
      </c>
      <c r="H2657" s="8"/>
    </row>
    <row r="2658" ht="25" customHeight="1" spans="1:8">
      <c r="A2658" s="6">
        <v>2656</v>
      </c>
      <c r="B2658" s="7" t="str">
        <f t="shared" si="635"/>
        <v>105</v>
      </c>
      <c r="C2658" s="7" t="s">
        <v>2002</v>
      </c>
      <c r="D2658" s="7" t="s">
        <v>2003</v>
      </c>
      <c r="E2658" s="7" t="str">
        <f>"庞小香"</f>
        <v>庞小香</v>
      </c>
      <c r="F2658" s="7" t="str">
        <f t="shared" si="642"/>
        <v>女</v>
      </c>
      <c r="G2658" s="7" t="s">
        <v>2206</v>
      </c>
      <c r="H2658" s="8"/>
    </row>
    <row r="2659" ht="25" customHeight="1" spans="1:8">
      <c r="A2659" s="6">
        <v>2657</v>
      </c>
      <c r="B2659" s="7" t="str">
        <f t="shared" si="635"/>
        <v>105</v>
      </c>
      <c r="C2659" s="7" t="s">
        <v>2002</v>
      </c>
      <c r="D2659" s="7" t="s">
        <v>2003</v>
      </c>
      <c r="E2659" s="7" t="str">
        <f>"陈隆"</f>
        <v>陈隆</v>
      </c>
      <c r="F2659" s="7" t="str">
        <f>"男"</f>
        <v>男</v>
      </c>
      <c r="G2659" s="7" t="s">
        <v>2207</v>
      </c>
      <c r="H2659" s="8"/>
    </row>
    <row r="2660" ht="25" customHeight="1" spans="1:8">
      <c r="A2660" s="6">
        <v>2658</v>
      </c>
      <c r="B2660" s="7" t="str">
        <f t="shared" si="635"/>
        <v>105</v>
      </c>
      <c r="C2660" s="7" t="s">
        <v>2002</v>
      </c>
      <c r="D2660" s="7" t="s">
        <v>2003</v>
      </c>
      <c r="E2660" s="7" t="str">
        <f>"王雪丹"</f>
        <v>王雪丹</v>
      </c>
      <c r="F2660" s="7" t="str">
        <f t="shared" ref="F2660:F2663" si="643">"女"</f>
        <v>女</v>
      </c>
      <c r="G2660" s="7" t="s">
        <v>2208</v>
      </c>
      <c r="H2660" s="8"/>
    </row>
    <row r="2661" ht="25" customHeight="1" spans="1:8">
      <c r="A2661" s="6">
        <v>2659</v>
      </c>
      <c r="B2661" s="7" t="str">
        <f t="shared" si="635"/>
        <v>105</v>
      </c>
      <c r="C2661" s="7" t="s">
        <v>2002</v>
      </c>
      <c r="D2661" s="7" t="s">
        <v>2003</v>
      </c>
      <c r="E2661" s="7" t="str">
        <f>"欧朝涵"</f>
        <v>欧朝涵</v>
      </c>
      <c r="F2661" s="7" t="str">
        <f t="shared" si="643"/>
        <v>女</v>
      </c>
      <c r="G2661" s="7" t="s">
        <v>2103</v>
      </c>
      <c r="H2661" s="8"/>
    </row>
    <row r="2662" ht="25" customHeight="1" spans="1:8">
      <c r="A2662" s="6">
        <v>2660</v>
      </c>
      <c r="B2662" s="7" t="str">
        <f t="shared" si="635"/>
        <v>105</v>
      </c>
      <c r="C2662" s="7" t="s">
        <v>2002</v>
      </c>
      <c r="D2662" s="7" t="s">
        <v>2003</v>
      </c>
      <c r="E2662" s="7" t="str">
        <f>"柯爱欣"</f>
        <v>柯爱欣</v>
      </c>
      <c r="F2662" s="7" t="str">
        <f t="shared" si="643"/>
        <v>女</v>
      </c>
      <c r="G2662" s="7" t="s">
        <v>660</v>
      </c>
      <c r="H2662" s="8"/>
    </row>
    <row r="2663" ht="25" customHeight="1" spans="1:8">
      <c r="A2663" s="6">
        <v>2661</v>
      </c>
      <c r="B2663" s="7" t="str">
        <f t="shared" si="635"/>
        <v>105</v>
      </c>
      <c r="C2663" s="7" t="s">
        <v>2002</v>
      </c>
      <c r="D2663" s="7" t="s">
        <v>2003</v>
      </c>
      <c r="E2663" s="7" t="str">
        <f>"王娟"</f>
        <v>王娟</v>
      </c>
      <c r="F2663" s="7" t="str">
        <f t="shared" si="643"/>
        <v>女</v>
      </c>
      <c r="G2663" s="7" t="s">
        <v>802</v>
      </c>
      <c r="H2663" s="8"/>
    </row>
    <row r="2664" ht="25" customHeight="1" spans="1:8">
      <c r="A2664" s="6">
        <v>2662</v>
      </c>
      <c r="B2664" s="7" t="str">
        <f t="shared" si="635"/>
        <v>105</v>
      </c>
      <c r="C2664" s="7" t="s">
        <v>2002</v>
      </c>
      <c r="D2664" s="7" t="s">
        <v>2003</v>
      </c>
      <c r="E2664" s="7" t="str">
        <f>"陈小海"</f>
        <v>陈小海</v>
      </c>
      <c r="F2664" s="7" t="str">
        <f t="shared" ref="F2664:F2668" si="644">"男"</f>
        <v>男</v>
      </c>
      <c r="G2664" s="7" t="s">
        <v>112</v>
      </c>
      <c r="H2664" s="8"/>
    </row>
    <row r="2665" ht="25" customHeight="1" spans="1:8">
      <c r="A2665" s="6">
        <v>2663</v>
      </c>
      <c r="B2665" s="7" t="str">
        <f t="shared" si="635"/>
        <v>105</v>
      </c>
      <c r="C2665" s="7" t="s">
        <v>2002</v>
      </c>
      <c r="D2665" s="7" t="s">
        <v>2003</v>
      </c>
      <c r="E2665" s="7" t="str">
        <f>"刘洪涛"</f>
        <v>刘洪涛</v>
      </c>
      <c r="F2665" s="7" t="str">
        <f t="shared" si="644"/>
        <v>男</v>
      </c>
      <c r="G2665" s="7" t="s">
        <v>2209</v>
      </c>
      <c r="H2665" s="8"/>
    </row>
    <row r="2666" ht="25" customHeight="1" spans="1:8">
      <c r="A2666" s="6">
        <v>2664</v>
      </c>
      <c r="B2666" s="7" t="str">
        <f t="shared" si="635"/>
        <v>105</v>
      </c>
      <c r="C2666" s="7" t="s">
        <v>2002</v>
      </c>
      <c r="D2666" s="7" t="s">
        <v>2003</v>
      </c>
      <c r="E2666" s="7" t="str">
        <f>"赵崴"</f>
        <v>赵崴</v>
      </c>
      <c r="F2666" s="7" t="str">
        <f>"女"</f>
        <v>女</v>
      </c>
      <c r="G2666" s="7" t="s">
        <v>2210</v>
      </c>
      <c r="H2666" s="8"/>
    </row>
    <row r="2667" ht="25" customHeight="1" spans="1:8">
      <c r="A2667" s="6">
        <v>2665</v>
      </c>
      <c r="B2667" s="7" t="str">
        <f t="shared" si="635"/>
        <v>105</v>
      </c>
      <c r="C2667" s="7" t="s">
        <v>2002</v>
      </c>
      <c r="D2667" s="7" t="s">
        <v>2003</v>
      </c>
      <c r="E2667" s="7" t="str">
        <f>"林培"</f>
        <v>林培</v>
      </c>
      <c r="F2667" s="7" t="str">
        <f t="shared" si="644"/>
        <v>男</v>
      </c>
      <c r="G2667" s="7" t="s">
        <v>323</v>
      </c>
      <c r="H2667" s="8"/>
    </row>
    <row r="2668" ht="25" customHeight="1" spans="1:8">
      <c r="A2668" s="6">
        <v>2666</v>
      </c>
      <c r="B2668" s="7" t="str">
        <f t="shared" si="635"/>
        <v>105</v>
      </c>
      <c r="C2668" s="7" t="s">
        <v>2002</v>
      </c>
      <c r="D2668" s="7" t="s">
        <v>2003</v>
      </c>
      <c r="E2668" s="7" t="str">
        <f>"符绍旺"</f>
        <v>符绍旺</v>
      </c>
      <c r="F2668" s="7" t="str">
        <f t="shared" si="644"/>
        <v>男</v>
      </c>
      <c r="G2668" s="7" t="s">
        <v>2211</v>
      </c>
      <c r="H2668" s="8"/>
    </row>
    <row r="2669" ht="25" customHeight="1" spans="1:8">
      <c r="A2669" s="6">
        <v>2667</v>
      </c>
      <c r="B2669" s="7" t="str">
        <f t="shared" si="635"/>
        <v>105</v>
      </c>
      <c r="C2669" s="7" t="s">
        <v>2002</v>
      </c>
      <c r="D2669" s="7" t="s">
        <v>2003</v>
      </c>
      <c r="E2669" s="7" t="str">
        <f>"陈惠娟"</f>
        <v>陈惠娟</v>
      </c>
      <c r="F2669" s="7" t="str">
        <f t="shared" ref="F2669:F2673" si="645">"女"</f>
        <v>女</v>
      </c>
      <c r="G2669" s="7" t="s">
        <v>287</v>
      </c>
      <c r="H2669" s="8"/>
    </row>
    <row r="2670" ht="25" customHeight="1" spans="1:8">
      <c r="A2670" s="6">
        <v>2668</v>
      </c>
      <c r="B2670" s="7" t="str">
        <f t="shared" si="635"/>
        <v>105</v>
      </c>
      <c r="C2670" s="7" t="s">
        <v>2002</v>
      </c>
      <c r="D2670" s="7" t="s">
        <v>2003</v>
      </c>
      <c r="E2670" s="7" t="str">
        <f>"李向超"</f>
        <v>李向超</v>
      </c>
      <c r="F2670" s="7" t="str">
        <f t="shared" ref="F2670:F2676" si="646">"男"</f>
        <v>男</v>
      </c>
      <c r="G2670" s="7" t="s">
        <v>2212</v>
      </c>
      <c r="H2670" s="8"/>
    </row>
    <row r="2671" ht="25" customHeight="1" spans="1:8">
      <c r="A2671" s="6">
        <v>2669</v>
      </c>
      <c r="B2671" s="7" t="str">
        <f t="shared" si="635"/>
        <v>105</v>
      </c>
      <c r="C2671" s="7" t="s">
        <v>2002</v>
      </c>
      <c r="D2671" s="7" t="s">
        <v>2003</v>
      </c>
      <c r="E2671" s="7" t="str">
        <f>"王冀敏"</f>
        <v>王冀敏</v>
      </c>
      <c r="F2671" s="7" t="str">
        <f t="shared" si="646"/>
        <v>男</v>
      </c>
      <c r="G2671" s="7" t="s">
        <v>2213</v>
      </c>
      <c r="H2671" s="8"/>
    </row>
    <row r="2672" ht="25" customHeight="1" spans="1:8">
      <c r="A2672" s="6">
        <v>2670</v>
      </c>
      <c r="B2672" s="7" t="str">
        <f t="shared" si="635"/>
        <v>105</v>
      </c>
      <c r="C2672" s="7" t="s">
        <v>2002</v>
      </c>
      <c r="D2672" s="7" t="s">
        <v>2003</v>
      </c>
      <c r="E2672" s="7" t="str">
        <f>"田钰塬"</f>
        <v>田钰塬</v>
      </c>
      <c r="F2672" s="7" t="str">
        <f t="shared" si="645"/>
        <v>女</v>
      </c>
      <c r="G2672" s="7" t="s">
        <v>2214</v>
      </c>
      <c r="H2672" s="8"/>
    </row>
    <row r="2673" ht="25" customHeight="1" spans="1:8">
      <c r="A2673" s="6">
        <v>2671</v>
      </c>
      <c r="B2673" s="7" t="str">
        <f t="shared" si="635"/>
        <v>105</v>
      </c>
      <c r="C2673" s="7" t="s">
        <v>2002</v>
      </c>
      <c r="D2673" s="7" t="s">
        <v>2003</v>
      </c>
      <c r="E2673" s="7" t="str">
        <f>"王惠"</f>
        <v>王惠</v>
      </c>
      <c r="F2673" s="7" t="str">
        <f t="shared" si="645"/>
        <v>女</v>
      </c>
      <c r="G2673" s="7" t="s">
        <v>2215</v>
      </c>
      <c r="H2673" s="8"/>
    </row>
    <row r="2674" ht="25" customHeight="1" spans="1:8">
      <c r="A2674" s="6">
        <v>2672</v>
      </c>
      <c r="B2674" s="7" t="str">
        <f t="shared" si="635"/>
        <v>105</v>
      </c>
      <c r="C2674" s="7" t="s">
        <v>2002</v>
      </c>
      <c r="D2674" s="7" t="s">
        <v>2003</v>
      </c>
      <c r="E2674" s="7" t="str">
        <f>"李应将"</f>
        <v>李应将</v>
      </c>
      <c r="F2674" s="7" t="str">
        <f t="shared" si="646"/>
        <v>男</v>
      </c>
      <c r="G2674" s="7" t="s">
        <v>867</v>
      </c>
      <c r="H2674" s="8"/>
    </row>
    <row r="2675" ht="25" customHeight="1" spans="1:8">
      <c r="A2675" s="6">
        <v>2673</v>
      </c>
      <c r="B2675" s="7" t="str">
        <f t="shared" si="635"/>
        <v>105</v>
      </c>
      <c r="C2675" s="7" t="s">
        <v>2002</v>
      </c>
      <c r="D2675" s="7" t="s">
        <v>2003</v>
      </c>
      <c r="E2675" s="7" t="str">
        <f>"符仙儒"</f>
        <v>符仙儒</v>
      </c>
      <c r="F2675" s="7" t="str">
        <f t="shared" si="646"/>
        <v>男</v>
      </c>
      <c r="G2675" s="7" t="s">
        <v>2216</v>
      </c>
      <c r="H2675" s="8"/>
    </row>
    <row r="2676" ht="25" customHeight="1" spans="1:8">
      <c r="A2676" s="6">
        <v>2674</v>
      </c>
      <c r="B2676" s="7" t="str">
        <f t="shared" si="635"/>
        <v>105</v>
      </c>
      <c r="C2676" s="7" t="s">
        <v>2002</v>
      </c>
      <c r="D2676" s="7" t="s">
        <v>2003</v>
      </c>
      <c r="E2676" s="7" t="str">
        <f>"陈伟强"</f>
        <v>陈伟强</v>
      </c>
      <c r="F2676" s="7" t="str">
        <f t="shared" si="646"/>
        <v>男</v>
      </c>
      <c r="G2676" s="7" t="s">
        <v>2217</v>
      </c>
      <c r="H2676" s="8"/>
    </row>
    <row r="2677" ht="25" customHeight="1" spans="1:8">
      <c r="A2677" s="6">
        <v>2675</v>
      </c>
      <c r="B2677" s="7" t="str">
        <f t="shared" si="635"/>
        <v>105</v>
      </c>
      <c r="C2677" s="7" t="s">
        <v>2002</v>
      </c>
      <c r="D2677" s="7" t="s">
        <v>2003</v>
      </c>
      <c r="E2677" s="7" t="str">
        <f>"刘静"</f>
        <v>刘静</v>
      </c>
      <c r="F2677" s="7" t="str">
        <f t="shared" ref="F2677:F2680" si="647">"女"</f>
        <v>女</v>
      </c>
      <c r="G2677" s="7" t="s">
        <v>2218</v>
      </c>
      <c r="H2677" s="8"/>
    </row>
    <row r="2678" ht="25" customHeight="1" spans="1:8">
      <c r="A2678" s="6">
        <v>2676</v>
      </c>
      <c r="B2678" s="7" t="str">
        <f t="shared" si="635"/>
        <v>105</v>
      </c>
      <c r="C2678" s="7" t="s">
        <v>2002</v>
      </c>
      <c r="D2678" s="7" t="s">
        <v>2003</v>
      </c>
      <c r="E2678" s="7" t="str">
        <f>"卢婉约"</f>
        <v>卢婉约</v>
      </c>
      <c r="F2678" s="7" t="str">
        <f t="shared" si="647"/>
        <v>女</v>
      </c>
      <c r="G2678" s="7" t="s">
        <v>2219</v>
      </c>
      <c r="H2678" s="8"/>
    </row>
    <row r="2679" ht="25" customHeight="1" spans="1:8">
      <c r="A2679" s="6">
        <v>2677</v>
      </c>
      <c r="B2679" s="7" t="str">
        <f t="shared" si="635"/>
        <v>105</v>
      </c>
      <c r="C2679" s="7" t="s">
        <v>2002</v>
      </c>
      <c r="D2679" s="7" t="s">
        <v>2003</v>
      </c>
      <c r="E2679" s="7" t="str">
        <f>"王亚琳"</f>
        <v>王亚琳</v>
      </c>
      <c r="F2679" s="7" t="str">
        <f t="shared" si="647"/>
        <v>女</v>
      </c>
      <c r="G2679" s="7" t="s">
        <v>2220</v>
      </c>
      <c r="H2679" s="8"/>
    </row>
    <row r="2680" ht="25" customHeight="1" spans="1:8">
      <c r="A2680" s="6">
        <v>2678</v>
      </c>
      <c r="B2680" s="7" t="str">
        <f t="shared" si="635"/>
        <v>105</v>
      </c>
      <c r="C2680" s="7" t="s">
        <v>2002</v>
      </c>
      <c r="D2680" s="7" t="s">
        <v>2003</v>
      </c>
      <c r="E2680" s="7" t="str">
        <f>"唐贤慧"</f>
        <v>唐贤慧</v>
      </c>
      <c r="F2680" s="7" t="str">
        <f t="shared" si="647"/>
        <v>女</v>
      </c>
      <c r="G2680" s="7" t="s">
        <v>2221</v>
      </c>
      <c r="H2680" s="8"/>
    </row>
    <row r="2681" ht="25" customHeight="1" spans="1:8">
      <c r="A2681" s="6">
        <v>2679</v>
      </c>
      <c r="B2681" s="7" t="str">
        <f t="shared" si="635"/>
        <v>105</v>
      </c>
      <c r="C2681" s="7" t="s">
        <v>2002</v>
      </c>
      <c r="D2681" s="7" t="s">
        <v>2003</v>
      </c>
      <c r="E2681" s="7" t="str">
        <f>"王建保"</f>
        <v>王建保</v>
      </c>
      <c r="F2681" s="7" t="str">
        <f t="shared" ref="F2681:F2684" si="648">"男"</f>
        <v>男</v>
      </c>
      <c r="G2681" s="7" t="s">
        <v>2222</v>
      </c>
      <c r="H2681" s="8"/>
    </row>
    <row r="2682" ht="25" customHeight="1" spans="1:8">
      <c r="A2682" s="6">
        <v>2680</v>
      </c>
      <c r="B2682" s="7" t="str">
        <f t="shared" si="635"/>
        <v>105</v>
      </c>
      <c r="C2682" s="7" t="s">
        <v>2002</v>
      </c>
      <c r="D2682" s="7" t="s">
        <v>2003</v>
      </c>
      <c r="E2682" s="7" t="str">
        <f>"李想"</f>
        <v>李想</v>
      </c>
      <c r="F2682" s="7" t="str">
        <f t="shared" si="648"/>
        <v>男</v>
      </c>
      <c r="G2682" s="7" t="s">
        <v>2223</v>
      </c>
      <c r="H2682" s="8"/>
    </row>
    <row r="2683" ht="25" customHeight="1" spans="1:8">
      <c r="A2683" s="6">
        <v>2681</v>
      </c>
      <c r="B2683" s="7" t="str">
        <f t="shared" si="635"/>
        <v>105</v>
      </c>
      <c r="C2683" s="7" t="s">
        <v>2002</v>
      </c>
      <c r="D2683" s="7" t="s">
        <v>2003</v>
      </c>
      <c r="E2683" s="7" t="str">
        <f>"许环梓"</f>
        <v>许环梓</v>
      </c>
      <c r="F2683" s="7" t="str">
        <f t="shared" ref="F2683:F2691" si="649">"女"</f>
        <v>女</v>
      </c>
      <c r="G2683" s="7" t="s">
        <v>2224</v>
      </c>
      <c r="H2683" s="8"/>
    </row>
    <row r="2684" ht="25" customHeight="1" spans="1:8">
      <c r="A2684" s="6">
        <v>2682</v>
      </c>
      <c r="B2684" s="7" t="str">
        <f t="shared" si="635"/>
        <v>105</v>
      </c>
      <c r="C2684" s="7" t="s">
        <v>2002</v>
      </c>
      <c r="D2684" s="7" t="s">
        <v>2003</v>
      </c>
      <c r="E2684" s="7" t="str">
        <f>"陈泽天"</f>
        <v>陈泽天</v>
      </c>
      <c r="F2684" s="7" t="str">
        <f t="shared" si="648"/>
        <v>男</v>
      </c>
      <c r="G2684" s="7" t="s">
        <v>912</v>
      </c>
      <c r="H2684" s="8"/>
    </row>
    <row r="2685" ht="25" customHeight="1" spans="1:8">
      <c r="A2685" s="6">
        <v>2683</v>
      </c>
      <c r="B2685" s="7" t="str">
        <f t="shared" si="635"/>
        <v>105</v>
      </c>
      <c r="C2685" s="7" t="s">
        <v>2002</v>
      </c>
      <c r="D2685" s="7" t="s">
        <v>2003</v>
      </c>
      <c r="E2685" s="7" t="str">
        <f>"黎菊桃"</f>
        <v>黎菊桃</v>
      </c>
      <c r="F2685" s="7" t="str">
        <f t="shared" si="649"/>
        <v>女</v>
      </c>
      <c r="G2685" s="7" t="s">
        <v>1025</v>
      </c>
      <c r="H2685" s="8"/>
    </row>
    <row r="2686" ht="25" customHeight="1" spans="1:8">
      <c r="A2686" s="6">
        <v>2684</v>
      </c>
      <c r="B2686" s="7" t="str">
        <f t="shared" si="635"/>
        <v>105</v>
      </c>
      <c r="C2686" s="7" t="s">
        <v>2002</v>
      </c>
      <c r="D2686" s="7" t="s">
        <v>2003</v>
      </c>
      <c r="E2686" s="7" t="str">
        <f>"宋楚涵"</f>
        <v>宋楚涵</v>
      </c>
      <c r="F2686" s="7" t="str">
        <f t="shared" si="649"/>
        <v>女</v>
      </c>
      <c r="G2686" s="7" t="s">
        <v>2225</v>
      </c>
      <c r="H2686" s="8"/>
    </row>
    <row r="2687" ht="25" customHeight="1" spans="1:8">
      <c r="A2687" s="6">
        <v>2685</v>
      </c>
      <c r="B2687" s="7" t="str">
        <f t="shared" si="635"/>
        <v>105</v>
      </c>
      <c r="C2687" s="7" t="s">
        <v>2002</v>
      </c>
      <c r="D2687" s="7" t="s">
        <v>2003</v>
      </c>
      <c r="E2687" s="7" t="str">
        <f>"黄娅媛"</f>
        <v>黄娅媛</v>
      </c>
      <c r="F2687" s="7" t="str">
        <f t="shared" si="649"/>
        <v>女</v>
      </c>
      <c r="G2687" s="7" t="s">
        <v>2226</v>
      </c>
      <c r="H2687" s="8"/>
    </row>
    <row r="2688" ht="25" customHeight="1" spans="1:8">
      <c r="A2688" s="6">
        <v>2686</v>
      </c>
      <c r="B2688" s="7" t="str">
        <f t="shared" si="635"/>
        <v>105</v>
      </c>
      <c r="C2688" s="7" t="s">
        <v>2002</v>
      </c>
      <c r="D2688" s="7" t="s">
        <v>2003</v>
      </c>
      <c r="E2688" s="7" t="str">
        <f>"葛燕"</f>
        <v>葛燕</v>
      </c>
      <c r="F2688" s="7" t="str">
        <f t="shared" si="649"/>
        <v>女</v>
      </c>
      <c r="G2688" s="7" t="s">
        <v>2227</v>
      </c>
      <c r="H2688" s="8"/>
    </row>
    <row r="2689" ht="25" customHeight="1" spans="1:8">
      <c r="A2689" s="6">
        <v>2687</v>
      </c>
      <c r="B2689" s="7" t="str">
        <f t="shared" si="635"/>
        <v>105</v>
      </c>
      <c r="C2689" s="7" t="s">
        <v>2002</v>
      </c>
      <c r="D2689" s="7" t="s">
        <v>2003</v>
      </c>
      <c r="E2689" s="7" t="str">
        <f>"宁小静"</f>
        <v>宁小静</v>
      </c>
      <c r="F2689" s="7" t="str">
        <f t="shared" si="649"/>
        <v>女</v>
      </c>
      <c r="G2689" s="7" t="s">
        <v>2228</v>
      </c>
      <c r="H2689" s="8"/>
    </row>
    <row r="2690" ht="25" customHeight="1" spans="1:8">
      <c r="A2690" s="6">
        <v>2688</v>
      </c>
      <c r="B2690" s="7" t="str">
        <f t="shared" si="635"/>
        <v>105</v>
      </c>
      <c r="C2690" s="7" t="s">
        <v>2002</v>
      </c>
      <c r="D2690" s="7" t="s">
        <v>2003</v>
      </c>
      <c r="E2690" s="7" t="str">
        <f>"张芸齐"</f>
        <v>张芸齐</v>
      </c>
      <c r="F2690" s="7" t="str">
        <f t="shared" si="649"/>
        <v>女</v>
      </c>
      <c r="G2690" s="7" t="s">
        <v>2229</v>
      </c>
      <c r="H2690" s="8"/>
    </row>
    <row r="2691" ht="25" customHeight="1" spans="1:8">
      <c r="A2691" s="6">
        <v>2689</v>
      </c>
      <c r="B2691" s="7" t="str">
        <f t="shared" si="635"/>
        <v>105</v>
      </c>
      <c r="C2691" s="7" t="s">
        <v>2002</v>
      </c>
      <c r="D2691" s="7" t="s">
        <v>2003</v>
      </c>
      <c r="E2691" s="7" t="str">
        <f>"陈益妹"</f>
        <v>陈益妹</v>
      </c>
      <c r="F2691" s="7" t="str">
        <f t="shared" si="649"/>
        <v>女</v>
      </c>
      <c r="G2691" s="7" t="s">
        <v>1266</v>
      </c>
      <c r="H2691" s="8"/>
    </row>
    <row r="2692" ht="25" customHeight="1" spans="1:8">
      <c r="A2692" s="6">
        <v>2690</v>
      </c>
      <c r="B2692" s="7" t="str">
        <f t="shared" ref="B2692:B2755" si="650">"105"</f>
        <v>105</v>
      </c>
      <c r="C2692" s="7" t="s">
        <v>2002</v>
      </c>
      <c r="D2692" s="7" t="s">
        <v>2003</v>
      </c>
      <c r="E2692" s="7" t="str">
        <f>"黎多多"</f>
        <v>黎多多</v>
      </c>
      <c r="F2692" s="7" t="str">
        <f t="shared" ref="F2692:F2696" si="651">"男"</f>
        <v>男</v>
      </c>
      <c r="G2692" s="7" t="s">
        <v>2230</v>
      </c>
      <c r="H2692" s="8"/>
    </row>
    <row r="2693" ht="25" customHeight="1" spans="1:8">
      <c r="A2693" s="6">
        <v>2691</v>
      </c>
      <c r="B2693" s="7" t="str">
        <f t="shared" si="650"/>
        <v>105</v>
      </c>
      <c r="C2693" s="7" t="s">
        <v>2002</v>
      </c>
      <c r="D2693" s="7" t="s">
        <v>2003</v>
      </c>
      <c r="E2693" s="7" t="str">
        <f>"叶孔林"</f>
        <v>叶孔林</v>
      </c>
      <c r="F2693" s="7" t="str">
        <f t="shared" si="651"/>
        <v>男</v>
      </c>
      <c r="G2693" s="7" t="s">
        <v>2231</v>
      </c>
      <c r="H2693" s="8"/>
    </row>
    <row r="2694" ht="25" customHeight="1" spans="1:8">
      <c r="A2694" s="6">
        <v>2692</v>
      </c>
      <c r="B2694" s="7" t="str">
        <f t="shared" si="650"/>
        <v>105</v>
      </c>
      <c r="C2694" s="7" t="s">
        <v>2002</v>
      </c>
      <c r="D2694" s="7" t="s">
        <v>2003</v>
      </c>
      <c r="E2694" s="7" t="str">
        <f>"吴佳佳"</f>
        <v>吴佳佳</v>
      </c>
      <c r="F2694" s="7" t="str">
        <f t="shared" ref="F2694:F2699" si="652">"女"</f>
        <v>女</v>
      </c>
      <c r="G2694" s="7" t="s">
        <v>2232</v>
      </c>
      <c r="H2694" s="8"/>
    </row>
    <row r="2695" ht="25" customHeight="1" spans="1:8">
      <c r="A2695" s="6">
        <v>2693</v>
      </c>
      <c r="B2695" s="7" t="str">
        <f t="shared" si="650"/>
        <v>105</v>
      </c>
      <c r="C2695" s="7" t="s">
        <v>2002</v>
      </c>
      <c r="D2695" s="7" t="s">
        <v>2003</v>
      </c>
      <c r="E2695" s="7" t="str">
        <f>"黎俊辰"</f>
        <v>黎俊辰</v>
      </c>
      <c r="F2695" s="7" t="str">
        <f t="shared" si="651"/>
        <v>男</v>
      </c>
      <c r="G2695" s="7" t="s">
        <v>2233</v>
      </c>
      <c r="H2695" s="8"/>
    </row>
    <row r="2696" ht="25" customHeight="1" spans="1:8">
      <c r="A2696" s="6">
        <v>2694</v>
      </c>
      <c r="B2696" s="7" t="str">
        <f t="shared" si="650"/>
        <v>105</v>
      </c>
      <c r="C2696" s="7" t="s">
        <v>2002</v>
      </c>
      <c r="D2696" s="7" t="s">
        <v>2003</v>
      </c>
      <c r="E2696" s="7" t="str">
        <f>"赵锦洋"</f>
        <v>赵锦洋</v>
      </c>
      <c r="F2696" s="7" t="str">
        <f t="shared" si="651"/>
        <v>男</v>
      </c>
      <c r="G2696" s="7" t="s">
        <v>2234</v>
      </c>
      <c r="H2696" s="8"/>
    </row>
    <row r="2697" ht="25" customHeight="1" spans="1:8">
      <c r="A2697" s="6">
        <v>2695</v>
      </c>
      <c r="B2697" s="7" t="str">
        <f t="shared" si="650"/>
        <v>105</v>
      </c>
      <c r="C2697" s="7" t="s">
        <v>2002</v>
      </c>
      <c r="D2697" s="7" t="s">
        <v>2003</v>
      </c>
      <c r="E2697" s="7" t="str">
        <f>"符慧燕"</f>
        <v>符慧燕</v>
      </c>
      <c r="F2697" s="7" t="str">
        <f t="shared" si="652"/>
        <v>女</v>
      </c>
      <c r="G2697" s="7" t="s">
        <v>2235</v>
      </c>
      <c r="H2697" s="8"/>
    </row>
    <row r="2698" ht="25" customHeight="1" spans="1:8">
      <c r="A2698" s="6">
        <v>2696</v>
      </c>
      <c r="B2698" s="7" t="str">
        <f t="shared" si="650"/>
        <v>105</v>
      </c>
      <c r="C2698" s="7" t="s">
        <v>2002</v>
      </c>
      <c r="D2698" s="7" t="s">
        <v>2003</v>
      </c>
      <c r="E2698" s="7" t="str">
        <f>"万昊康"</f>
        <v>万昊康</v>
      </c>
      <c r="F2698" s="7" t="str">
        <f>"男"</f>
        <v>男</v>
      </c>
      <c r="G2698" s="7" t="s">
        <v>2236</v>
      </c>
      <c r="H2698" s="8"/>
    </row>
    <row r="2699" ht="25" customHeight="1" spans="1:8">
      <c r="A2699" s="6">
        <v>2697</v>
      </c>
      <c r="B2699" s="7" t="str">
        <f t="shared" si="650"/>
        <v>105</v>
      </c>
      <c r="C2699" s="7" t="s">
        <v>2002</v>
      </c>
      <c r="D2699" s="7" t="s">
        <v>2003</v>
      </c>
      <c r="E2699" s="7" t="str">
        <f>"苏紫萱"</f>
        <v>苏紫萱</v>
      </c>
      <c r="F2699" s="7" t="str">
        <f t="shared" si="652"/>
        <v>女</v>
      </c>
      <c r="G2699" s="7" t="s">
        <v>2237</v>
      </c>
      <c r="H2699" s="8"/>
    </row>
    <row r="2700" ht="25" customHeight="1" spans="1:8">
      <c r="A2700" s="6">
        <v>2698</v>
      </c>
      <c r="B2700" s="7" t="str">
        <f t="shared" si="650"/>
        <v>105</v>
      </c>
      <c r="C2700" s="7" t="s">
        <v>2002</v>
      </c>
      <c r="D2700" s="7" t="s">
        <v>2003</v>
      </c>
      <c r="E2700" s="7" t="str">
        <f>"黎鹏"</f>
        <v>黎鹏</v>
      </c>
      <c r="F2700" s="7" t="str">
        <f>"男"</f>
        <v>男</v>
      </c>
      <c r="G2700" s="7" t="s">
        <v>2238</v>
      </c>
      <c r="H2700" s="8"/>
    </row>
    <row r="2701" ht="25" customHeight="1" spans="1:8">
      <c r="A2701" s="6">
        <v>2699</v>
      </c>
      <c r="B2701" s="7" t="str">
        <f t="shared" si="650"/>
        <v>105</v>
      </c>
      <c r="C2701" s="7" t="s">
        <v>2002</v>
      </c>
      <c r="D2701" s="7" t="s">
        <v>2003</v>
      </c>
      <c r="E2701" s="7" t="str">
        <f>"刘妙姬"</f>
        <v>刘妙姬</v>
      </c>
      <c r="F2701" s="7" t="str">
        <f t="shared" ref="F2701:F2703" si="653">"女"</f>
        <v>女</v>
      </c>
      <c r="G2701" s="7" t="s">
        <v>2159</v>
      </c>
      <c r="H2701" s="8"/>
    </row>
    <row r="2702" ht="25" customHeight="1" spans="1:8">
      <c r="A2702" s="6">
        <v>2700</v>
      </c>
      <c r="B2702" s="7" t="str">
        <f t="shared" si="650"/>
        <v>105</v>
      </c>
      <c r="C2702" s="7" t="s">
        <v>2002</v>
      </c>
      <c r="D2702" s="7" t="s">
        <v>2003</v>
      </c>
      <c r="E2702" s="7" t="str">
        <f>"邢月芬"</f>
        <v>邢月芬</v>
      </c>
      <c r="F2702" s="7" t="str">
        <f t="shared" si="653"/>
        <v>女</v>
      </c>
      <c r="G2702" s="7" t="s">
        <v>2239</v>
      </c>
      <c r="H2702" s="8"/>
    </row>
    <row r="2703" ht="25" customHeight="1" spans="1:8">
      <c r="A2703" s="6">
        <v>2701</v>
      </c>
      <c r="B2703" s="7" t="str">
        <f t="shared" si="650"/>
        <v>105</v>
      </c>
      <c r="C2703" s="7" t="s">
        <v>2002</v>
      </c>
      <c r="D2703" s="7" t="s">
        <v>2003</v>
      </c>
      <c r="E2703" s="7" t="str">
        <f>"范晨娃"</f>
        <v>范晨娃</v>
      </c>
      <c r="F2703" s="7" t="str">
        <f t="shared" si="653"/>
        <v>女</v>
      </c>
      <c r="G2703" s="7" t="s">
        <v>2240</v>
      </c>
      <c r="H2703" s="8"/>
    </row>
    <row r="2704" ht="25" customHeight="1" spans="1:8">
      <c r="A2704" s="6">
        <v>2702</v>
      </c>
      <c r="B2704" s="7" t="str">
        <f t="shared" si="650"/>
        <v>105</v>
      </c>
      <c r="C2704" s="7" t="s">
        <v>2002</v>
      </c>
      <c r="D2704" s="7" t="s">
        <v>2003</v>
      </c>
      <c r="E2704" s="7" t="str">
        <f>"曾繁杰"</f>
        <v>曾繁杰</v>
      </c>
      <c r="F2704" s="7" t="str">
        <f>"男"</f>
        <v>男</v>
      </c>
      <c r="G2704" s="7" t="s">
        <v>2241</v>
      </c>
      <c r="H2704" s="8"/>
    </row>
    <row r="2705" ht="25" customHeight="1" spans="1:8">
      <c r="A2705" s="6">
        <v>2703</v>
      </c>
      <c r="B2705" s="7" t="str">
        <f t="shared" si="650"/>
        <v>105</v>
      </c>
      <c r="C2705" s="7" t="s">
        <v>2002</v>
      </c>
      <c r="D2705" s="7" t="s">
        <v>2003</v>
      </c>
      <c r="E2705" s="7" t="str">
        <f>"阮丽媚"</f>
        <v>阮丽媚</v>
      </c>
      <c r="F2705" s="7" t="str">
        <f t="shared" ref="F2705:F2710" si="654">"女"</f>
        <v>女</v>
      </c>
      <c r="G2705" s="7" t="s">
        <v>2242</v>
      </c>
      <c r="H2705" s="8"/>
    </row>
    <row r="2706" ht="25" customHeight="1" spans="1:8">
      <c r="A2706" s="6">
        <v>2704</v>
      </c>
      <c r="B2706" s="7" t="str">
        <f t="shared" si="650"/>
        <v>105</v>
      </c>
      <c r="C2706" s="7" t="s">
        <v>2002</v>
      </c>
      <c r="D2706" s="7" t="s">
        <v>2003</v>
      </c>
      <c r="E2706" s="7" t="str">
        <f>"陈慧滢"</f>
        <v>陈慧滢</v>
      </c>
      <c r="F2706" s="7" t="str">
        <f t="shared" si="654"/>
        <v>女</v>
      </c>
      <c r="G2706" s="7" t="s">
        <v>2243</v>
      </c>
      <c r="H2706" s="8"/>
    </row>
    <row r="2707" ht="25" customHeight="1" spans="1:8">
      <c r="A2707" s="6">
        <v>2705</v>
      </c>
      <c r="B2707" s="7" t="str">
        <f t="shared" si="650"/>
        <v>105</v>
      </c>
      <c r="C2707" s="7" t="s">
        <v>2002</v>
      </c>
      <c r="D2707" s="7" t="s">
        <v>2003</v>
      </c>
      <c r="E2707" s="7" t="str">
        <f>"王祎"</f>
        <v>王祎</v>
      </c>
      <c r="F2707" s="7" t="str">
        <f>"男"</f>
        <v>男</v>
      </c>
      <c r="G2707" s="7" t="s">
        <v>2244</v>
      </c>
      <c r="H2707" s="8"/>
    </row>
    <row r="2708" ht="25" customHeight="1" spans="1:8">
      <c r="A2708" s="6">
        <v>2706</v>
      </c>
      <c r="B2708" s="7" t="str">
        <f t="shared" si="650"/>
        <v>105</v>
      </c>
      <c r="C2708" s="7" t="s">
        <v>2002</v>
      </c>
      <c r="D2708" s="7" t="s">
        <v>2003</v>
      </c>
      <c r="E2708" s="7" t="str">
        <f>"袁源"</f>
        <v>袁源</v>
      </c>
      <c r="F2708" s="7" t="str">
        <f t="shared" si="654"/>
        <v>女</v>
      </c>
      <c r="G2708" s="7" t="s">
        <v>709</v>
      </c>
      <c r="H2708" s="8"/>
    </row>
    <row r="2709" ht="25" customHeight="1" spans="1:8">
      <c r="A2709" s="6">
        <v>2707</v>
      </c>
      <c r="B2709" s="7" t="str">
        <f t="shared" si="650"/>
        <v>105</v>
      </c>
      <c r="C2709" s="7" t="s">
        <v>2002</v>
      </c>
      <c r="D2709" s="7" t="s">
        <v>2003</v>
      </c>
      <c r="E2709" s="7" t="str">
        <f>"邢冰冰"</f>
        <v>邢冰冰</v>
      </c>
      <c r="F2709" s="7" t="str">
        <f t="shared" si="654"/>
        <v>女</v>
      </c>
      <c r="G2709" s="7" t="s">
        <v>2245</v>
      </c>
      <c r="H2709" s="8"/>
    </row>
    <row r="2710" ht="25" customHeight="1" spans="1:8">
      <c r="A2710" s="6">
        <v>2708</v>
      </c>
      <c r="B2710" s="7" t="str">
        <f t="shared" si="650"/>
        <v>105</v>
      </c>
      <c r="C2710" s="7" t="s">
        <v>2002</v>
      </c>
      <c r="D2710" s="7" t="s">
        <v>2003</v>
      </c>
      <c r="E2710" s="7" t="str">
        <f>"段林杉"</f>
        <v>段林杉</v>
      </c>
      <c r="F2710" s="7" t="str">
        <f t="shared" si="654"/>
        <v>女</v>
      </c>
      <c r="G2710" s="7" t="s">
        <v>2246</v>
      </c>
      <c r="H2710" s="8"/>
    </row>
    <row r="2711" ht="25" customHeight="1" spans="1:8">
      <c r="A2711" s="6">
        <v>2709</v>
      </c>
      <c r="B2711" s="7" t="str">
        <f t="shared" si="650"/>
        <v>105</v>
      </c>
      <c r="C2711" s="7" t="s">
        <v>2002</v>
      </c>
      <c r="D2711" s="7" t="s">
        <v>2003</v>
      </c>
      <c r="E2711" s="7" t="str">
        <f>"贾子十"</f>
        <v>贾子十</v>
      </c>
      <c r="F2711" s="7" t="str">
        <f>"男"</f>
        <v>男</v>
      </c>
      <c r="G2711" s="7" t="s">
        <v>2247</v>
      </c>
      <c r="H2711" s="8"/>
    </row>
    <row r="2712" ht="25" customHeight="1" spans="1:8">
      <c r="A2712" s="6">
        <v>2710</v>
      </c>
      <c r="B2712" s="7" t="str">
        <f t="shared" si="650"/>
        <v>105</v>
      </c>
      <c r="C2712" s="7" t="s">
        <v>2002</v>
      </c>
      <c r="D2712" s="7" t="s">
        <v>2003</v>
      </c>
      <c r="E2712" s="7" t="str">
        <f>"胡晓丽"</f>
        <v>胡晓丽</v>
      </c>
      <c r="F2712" s="7" t="str">
        <f t="shared" ref="F2712:F2714" si="655">"女"</f>
        <v>女</v>
      </c>
      <c r="G2712" s="7" t="s">
        <v>2248</v>
      </c>
      <c r="H2712" s="8"/>
    </row>
    <row r="2713" ht="25" customHeight="1" spans="1:8">
      <c r="A2713" s="6">
        <v>2711</v>
      </c>
      <c r="B2713" s="7" t="str">
        <f t="shared" si="650"/>
        <v>105</v>
      </c>
      <c r="C2713" s="7" t="s">
        <v>2002</v>
      </c>
      <c r="D2713" s="7" t="s">
        <v>2003</v>
      </c>
      <c r="E2713" s="7" t="str">
        <f>"符国星"</f>
        <v>符国星</v>
      </c>
      <c r="F2713" s="7" t="str">
        <f t="shared" si="655"/>
        <v>女</v>
      </c>
      <c r="G2713" s="7" t="s">
        <v>2249</v>
      </c>
      <c r="H2713" s="8"/>
    </row>
    <row r="2714" ht="25" customHeight="1" spans="1:8">
      <c r="A2714" s="6">
        <v>2712</v>
      </c>
      <c r="B2714" s="7" t="str">
        <f t="shared" si="650"/>
        <v>105</v>
      </c>
      <c r="C2714" s="7" t="s">
        <v>2002</v>
      </c>
      <c r="D2714" s="7" t="s">
        <v>2003</v>
      </c>
      <c r="E2714" s="7" t="str">
        <f>"邢增婷"</f>
        <v>邢增婷</v>
      </c>
      <c r="F2714" s="7" t="str">
        <f t="shared" si="655"/>
        <v>女</v>
      </c>
      <c r="G2714" s="7" t="s">
        <v>2250</v>
      </c>
      <c r="H2714" s="8"/>
    </row>
    <row r="2715" ht="25" customHeight="1" spans="1:8">
      <c r="A2715" s="6">
        <v>2713</v>
      </c>
      <c r="B2715" s="7" t="str">
        <f t="shared" si="650"/>
        <v>105</v>
      </c>
      <c r="C2715" s="7" t="s">
        <v>2002</v>
      </c>
      <c r="D2715" s="7" t="s">
        <v>2003</v>
      </c>
      <c r="E2715" s="7" t="str">
        <f>"刘烨"</f>
        <v>刘烨</v>
      </c>
      <c r="F2715" s="7" t="str">
        <f>"男"</f>
        <v>男</v>
      </c>
      <c r="G2715" s="7" t="s">
        <v>2251</v>
      </c>
      <c r="H2715" s="8"/>
    </row>
    <row r="2716" ht="25" customHeight="1" spans="1:8">
      <c r="A2716" s="6">
        <v>2714</v>
      </c>
      <c r="B2716" s="7" t="str">
        <f t="shared" si="650"/>
        <v>105</v>
      </c>
      <c r="C2716" s="7" t="s">
        <v>2002</v>
      </c>
      <c r="D2716" s="7" t="s">
        <v>2003</v>
      </c>
      <c r="E2716" s="7" t="str">
        <f>"吴皎钰"</f>
        <v>吴皎钰</v>
      </c>
      <c r="F2716" s="7" t="str">
        <f t="shared" ref="F2716:F2718" si="656">"女"</f>
        <v>女</v>
      </c>
      <c r="G2716" s="7" t="s">
        <v>2252</v>
      </c>
      <c r="H2716" s="8"/>
    </row>
    <row r="2717" ht="25" customHeight="1" spans="1:8">
      <c r="A2717" s="6">
        <v>2715</v>
      </c>
      <c r="B2717" s="7" t="str">
        <f t="shared" si="650"/>
        <v>105</v>
      </c>
      <c r="C2717" s="7" t="s">
        <v>2002</v>
      </c>
      <c r="D2717" s="7" t="s">
        <v>2003</v>
      </c>
      <c r="E2717" s="7" t="str">
        <f>"胡慧娟"</f>
        <v>胡慧娟</v>
      </c>
      <c r="F2717" s="7" t="str">
        <f t="shared" si="656"/>
        <v>女</v>
      </c>
      <c r="G2717" s="7" t="s">
        <v>638</v>
      </c>
      <c r="H2717" s="8"/>
    </row>
    <row r="2718" ht="25" customHeight="1" spans="1:8">
      <c r="A2718" s="6">
        <v>2716</v>
      </c>
      <c r="B2718" s="7" t="str">
        <f t="shared" si="650"/>
        <v>105</v>
      </c>
      <c r="C2718" s="7" t="s">
        <v>2002</v>
      </c>
      <c r="D2718" s="7" t="s">
        <v>2003</v>
      </c>
      <c r="E2718" s="7" t="str">
        <f>"陈静"</f>
        <v>陈静</v>
      </c>
      <c r="F2718" s="7" t="str">
        <f t="shared" si="656"/>
        <v>女</v>
      </c>
      <c r="G2718" s="7" t="s">
        <v>2253</v>
      </c>
      <c r="H2718" s="8"/>
    </row>
    <row r="2719" ht="25" customHeight="1" spans="1:8">
      <c r="A2719" s="6">
        <v>2717</v>
      </c>
      <c r="B2719" s="7" t="str">
        <f t="shared" si="650"/>
        <v>105</v>
      </c>
      <c r="C2719" s="7" t="s">
        <v>2002</v>
      </c>
      <c r="D2719" s="7" t="s">
        <v>2003</v>
      </c>
      <c r="E2719" s="7" t="str">
        <f>"袁富恒"</f>
        <v>袁富恒</v>
      </c>
      <c r="F2719" s="7" t="str">
        <f t="shared" ref="F2719:F2723" si="657">"男"</f>
        <v>男</v>
      </c>
      <c r="G2719" s="7" t="s">
        <v>2254</v>
      </c>
      <c r="H2719" s="8"/>
    </row>
    <row r="2720" ht="25" customHeight="1" spans="1:8">
      <c r="A2720" s="6">
        <v>2718</v>
      </c>
      <c r="B2720" s="7" t="str">
        <f t="shared" si="650"/>
        <v>105</v>
      </c>
      <c r="C2720" s="7" t="s">
        <v>2002</v>
      </c>
      <c r="D2720" s="7" t="s">
        <v>2003</v>
      </c>
      <c r="E2720" s="7" t="str">
        <f>"陈焕彩"</f>
        <v>陈焕彩</v>
      </c>
      <c r="F2720" s="7" t="str">
        <f t="shared" ref="F2720:F2727" si="658">"女"</f>
        <v>女</v>
      </c>
      <c r="G2720" s="7" t="s">
        <v>2255</v>
      </c>
      <c r="H2720" s="8"/>
    </row>
    <row r="2721" ht="25" customHeight="1" spans="1:8">
      <c r="A2721" s="6">
        <v>2719</v>
      </c>
      <c r="B2721" s="7" t="str">
        <f t="shared" si="650"/>
        <v>105</v>
      </c>
      <c r="C2721" s="7" t="s">
        <v>2002</v>
      </c>
      <c r="D2721" s="7" t="s">
        <v>2003</v>
      </c>
      <c r="E2721" s="7" t="str">
        <f>"陈明程"</f>
        <v>陈明程</v>
      </c>
      <c r="F2721" s="7" t="str">
        <f t="shared" si="657"/>
        <v>男</v>
      </c>
      <c r="G2721" s="7" t="s">
        <v>2256</v>
      </c>
      <c r="H2721" s="8"/>
    </row>
    <row r="2722" ht="25" customHeight="1" spans="1:8">
      <c r="A2722" s="6">
        <v>2720</v>
      </c>
      <c r="B2722" s="7" t="str">
        <f t="shared" si="650"/>
        <v>105</v>
      </c>
      <c r="C2722" s="7" t="s">
        <v>2002</v>
      </c>
      <c r="D2722" s="7" t="s">
        <v>2003</v>
      </c>
      <c r="E2722" s="7" t="str">
        <f>"蔡姝"</f>
        <v>蔡姝</v>
      </c>
      <c r="F2722" s="7" t="str">
        <f t="shared" si="658"/>
        <v>女</v>
      </c>
      <c r="G2722" s="7" t="s">
        <v>2257</v>
      </c>
      <c r="H2722" s="8"/>
    </row>
    <row r="2723" ht="25" customHeight="1" spans="1:8">
      <c r="A2723" s="6">
        <v>2721</v>
      </c>
      <c r="B2723" s="7" t="str">
        <f t="shared" si="650"/>
        <v>105</v>
      </c>
      <c r="C2723" s="7" t="s">
        <v>2002</v>
      </c>
      <c r="D2723" s="7" t="s">
        <v>2003</v>
      </c>
      <c r="E2723" s="7" t="str">
        <f>"范世杰"</f>
        <v>范世杰</v>
      </c>
      <c r="F2723" s="7" t="str">
        <f t="shared" si="657"/>
        <v>男</v>
      </c>
      <c r="G2723" s="7" t="s">
        <v>2258</v>
      </c>
      <c r="H2723" s="8"/>
    </row>
    <row r="2724" ht="25" customHeight="1" spans="1:8">
      <c r="A2724" s="6">
        <v>2722</v>
      </c>
      <c r="B2724" s="7" t="str">
        <f t="shared" si="650"/>
        <v>105</v>
      </c>
      <c r="C2724" s="7" t="s">
        <v>2002</v>
      </c>
      <c r="D2724" s="7" t="s">
        <v>2003</v>
      </c>
      <c r="E2724" s="7" t="str">
        <f>"赵玲凤"</f>
        <v>赵玲凤</v>
      </c>
      <c r="F2724" s="7" t="str">
        <f t="shared" si="658"/>
        <v>女</v>
      </c>
      <c r="G2724" s="7" t="s">
        <v>2259</v>
      </c>
      <c r="H2724" s="8"/>
    </row>
    <row r="2725" ht="25" customHeight="1" spans="1:8">
      <c r="A2725" s="6">
        <v>2723</v>
      </c>
      <c r="B2725" s="7" t="str">
        <f t="shared" si="650"/>
        <v>105</v>
      </c>
      <c r="C2725" s="7" t="s">
        <v>2002</v>
      </c>
      <c r="D2725" s="7" t="s">
        <v>2003</v>
      </c>
      <c r="E2725" s="7" t="str">
        <f>"陈玉盈"</f>
        <v>陈玉盈</v>
      </c>
      <c r="F2725" s="7" t="str">
        <f t="shared" si="658"/>
        <v>女</v>
      </c>
      <c r="G2725" s="7" t="s">
        <v>2260</v>
      </c>
      <c r="H2725" s="8"/>
    </row>
    <row r="2726" ht="25" customHeight="1" spans="1:8">
      <c r="A2726" s="6">
        <v>2724</v>
      </c>
      <c r="B2726" s="7" t="str">
        <f t="shared" si="650"/>
        <v>105</v>
      </c>
      <c r="C2726" s="7" t="s">
        <v>2002</v>
      </c>
      <c r="D2726" s="7" t="s">
        <v>2003</v>
      </c>
      <c r="E2726" s="7" t="str">
        <f>"安伟莉"</f>
        <v>安伟莉</v>
      </c>
      <c r="F2726" s="7" t="str">
        <f t="shared" si="658"/>
        <v>女</v>
      </c>
      <c r="G2726" s="7" t="s">
        <v>2261</v>
      </c>
      <c r="H2726" s="8"/>
    </row>
    <row r="2727" ht="25" customHeight="1" spans="1:8">
      <c r="A2727" s="6">
        <v>2725</v>
      </c>
      <c r="B2727" s="7" t="str">
        <f t="shared" si="650"/>
        <v>105</v>
      </c>
      <c r="C2727" s="7" t="s">
        <v>2002</v>
      </c>
      <c r="D2727" s="7" t="s">
        <v>2003</v>
      </c>
      <c r="E2727" s="7" t="str">
        <f>"陈思羽"</f>
        <v>陈思羽</v>
      </c>
      <c r="F2727" s="7" t="str">
        <f t="shared" si="658"/>
        <v>女</v>
      </c>
      <c r="G2727" s="7" t="s">
        <v>2262</v>
      </c>
      <c r="H2727" s="8"/>
    </row>
    <row r="2728" ht="25" customHeight="1" spans="1:8">
      <c r="A2728" s="6">
        <v>2726</v>
      </c>
      <c r="B2728" s="7" t="str">
        <f t="shared" si="650"/>
        <v>105</v>
      </c>
      <c r="C2728" s="7" t="s">
        <v>2002</v>
      </c>
      <c r="D2728" s="7" t="s">
        <v>2003</v>
      </c>
      <c r="E2728" s="7" t="str">
        <f>"陆善洪"</f>
        <v>陆善洪</v>
      </c>
      <c r="F2728" s="7" t="str">
        <f t="shared" ref="F2728:F2732" si="659">"男"</f>
        <v>男</v>
      </c>
      <c r="G2728" s="7" t="s">
        <v>2263</v>
      </c>
      <c r="H2728" s="8"/>
    </row>
    <row r="2729" ht="25" customHeight="1" spans="1:8">
      <c r="A2729" s="6">
        <v>2727</v>
      </c>
      <c r="B2729" s="7" t="str">
        <f t="shared" si="650"/>
        <v>105</v>
      </c>
      <c r="C2729" s="7" t="s">
        <v>2002</v>
      </c>
      <c r="D2729" s="7" t="s">
        <v>2003</v>
      </c>
      <c r="E2729" s="7" t="str">
        <f>"吴多伟"</f>
        <v>吴多伟</v>
      </c>
      <c r="F2729" s="7" t="str">
        <f t="shared" si="659"/>
        <v>男</v>
      </c>
      <c r="G2729" s="7" t="s">
        <v>2264</v>
      </c>
      <c r="H2729" s="8"/>
    </row>
    <row r="2730" ht="25" customHeight="1" spans="1:8">
      <c r="A2730" s="6">
        <v>2728</v>
      </c>
      <c r="B2730" s="7" t="str">
        <f t="shared" si="650"/>
        <v>105</v>
      </c>
      <c r="C2730" s="7" t="s">
        <v>2002</v>
      </c>
      <c r="D2730" s="7" t="s">
        <v>2003</v>
      </c>
      <c r="E2730" s="7" t="str">
        <f>"张玉"</f>
        <v>张玉</v>
      </c>
      <c r="F2730" s="7" t="str">
        <f t="shared" ref="F2730:F2733" si="660">"女"</f>
        <v>女</v>
      </c>
      <c r="G2730" s="7" t="s">
        <v>2265</v>
      </c>
      <c r="H2730" s="8"/>
    </row>
    <row r="2731" ht="25" customHeight="1" spans="1:8">
      <c r="A2731" s="6">
        <v>2729</v>
      </c>
      <c r="B2731" s="7" t="str">
        <f t="shared" si="650"/>
        <v>105</v>
      </c>
      <c r="C2731" s="7" t="s">
        <v>2002</v>
      </c>
      <c r="D2731" s="7" t="s">
        <v>2003</v>
      </c>
      <c r="E2731" s="7" t="str">
        <f>"吉香名"</f>
        <v>吉香名</v>
      </c>
      <c r="F2731" s="7" t="str">
        <f t="shared" si="660"/>
        <v>女</v>
      </c>
      <c r="G2731" s="7" t="s">
        <v>2036</v>
      </c>
      <c r="H2731" s="8"/>
    </row>
    <row r="2732" ht="25" customHeight="1" spans="1:8">
      <c r="A2732" s="6">
        <v>2730</v>
      </c>
      <c r="B2732" s="7" t="str">
        <f t="shared" si="650"/>
        <v>105</v>
      </c>
      <c r="C2732" s="7" t="s">
        <v>2002</v>
      </c>
      <c r="D2732" s="7" t="s">
        <v>2003</v>
      </c>
      <c r="E2732" s="7" t="str">
        <f>"何伟泽"</f>
        <v>何伟泽</v>
      </c>
      <c r="F2732" s="7" t="str">
        <f t="shared" si="659"/>
        <v>男</v>
      </c>
      <c r="G2732" s="7" t="s">
        <v>858</v>
      </c>
      <c r="H2732" s="8"/>
    </row>
    <row r="2733" ht="25" customHeight="1" spans="1:8">
      <c r="A2733" s="6">
        <v>2731</v>
      </c>
      <c r="B2733" s="7" t="str">
        <f t="shared" si="650"/>
        <v>105</v>
      </c>
      <c r="C2733" s="7" t="s">
        <v>2002</v>
      </c>
      <c r="D2733" s="7" t="s">
        <v>2003</v>
      </c>
      <c r="E2733" s="7" t="str">
        <f>"黎经影"</f>
        <v>黎经影</v>
      </c>
      <c r="F2733" s="7" t="str">
        <f t="shared" si="660"/>
        <v>女</v>
      </c>
      <c r="G2733" s="7" t="s">
        <v>2266</v>
      </c>
      <c r="H2733" s="8"/>
    </row>
    <row r="2734" ht="25" customHeight="1" spans="1:8">
      <c r="A2734" s="6">
        <v>2732</v>
      </c>
      <c r="B2734" s="7" t="str">
        <f t="shared" si="650"/>
        <v>105</v>
      </c>
      <c r="C2734" s="7" t="s">
        <v>2002</v>
      </c>
      <c r="D2734" s="7" t="s">
        <v>2003</v>
      </c>
      <c r="E2734" s="7" t="str">
        <f>"陆熠"</f>
        <v>陆熠</v>
      </c>
      <c r="F2734" s="7" t="str">
        <f t="shared" ref="F2734:F2737" si="661">"男"</f>
        <v>男</v>
      </c>
      <c r="G2734" s="7" t="s">
        <v>15</v>
      </c>
      <c r="H2734" s="8"/>
    </row>
    <row r="2735" ht="25" customHeight="1" spans="1:8">
      <c r="A2735" s="6">
        <v>2733</v>
      </c>
      <c r="B2735" s="7" t="str">
        <f t="shared" si="650"/>
        <v>105</v>
      </c>
      <c r="C2735" s="7" t="s">
        <v>2002</v>
      </c>
      <c r="D2735" s="7" t="s">
        <v>2003</v>
      </c>
      <c r="E2735" s="7" t="str">
        <f>"林方惠"</f>
        <v>林方惠</v>
      </c>
      <c r="F2735" s="7" t="str">
        <f>"女"</f>
        <v>女</v>
      </c>
      <c r="G2735" s="7" t="s">
        <v>2267</v>
      </c>
      <c r="H2735" s="8"/>
    </row>
    <row r="2736" ht="25" customHeight="1" spans="1:8">
      <c r="A2736" s="6">
        <v>2734</v>
      </c>
      <c r="B2736" s="7" t="str">
        <f t="shared" si="650"/>
        <v>105</v>
      </c>
      <c r="C2736" s="7" t="s">
        <v>2002</v>
      </c>
      <c r="D2736" s="7" t="s">
        <v>2003</v>
      </c>
      <c r="E2736" s="7" t="str">
        <f>"潘玮"</f>
        <v>潘玮</v>
      </c>
      <c r="F2736" s="7" t="str">
        <f t="shared" si="661"/>
        <v>男</v>
      </c>
      <c r="G2736" s="7" t="s">
        <v>1393</v>
      </c>
      <c r="H2736" s="8"/>
    </row>
    <row r="2737" ht="25" customHeight="1" spans="1:8">
      <c r="A2737" s="6">
        <v>2735</v>
      </c>
      <c r="B2737" s="7" t="str">
        <f t="shared" si="650"/>
        <v>105</v>
      </c>
      <c r="C2737" s="7" t="s">
        <v>2002</v>
      </c>
      <c r="D2737" s="7" t="s">
        <v>2003</v>
      </c>
      <c r="E2737" s="7" t="str">
        <f>"刘代维"</f>
        <v>刘代维</v>
      </c>
      <c r="F2737" s="7" t="str">
        <f t="shared" si="661"/>
        <v>男</v>
      </c>
      <c r="G2737" s="7" t="s">
        <v>2268</v>
      </c>
      <c r="H2737" s="8"/>
    </row>
    <row r="2738" ht="25" customHeight="1" spans="1:8">
      <c r="A2738" s="6">
        <v>2736</v>
      </c>
      <c r="B2738" s="7" t="str">
        <f t="shared" si="650"/>
        <v>105</v>
      </c>
      <c r="C2738" s="7" t="s">
        <v>2002</v>
      </c>
      <c r="D2738" s="7" t="s">
        <v>2003</v>
      </c>
      <c r="E2738" s="7" t="str">
        <f>"何巧思"</f>
        <v>何巧思</v>
      </c>
      <c r="F2738" s="7" t="str">
        <f>"女"</f>
        <v>女</v>
      </c>
      <c r="G2738" s="7" t="s">
        <v>621</v>
      </c>
      <c r="H2738" s="8"/>
    </row>
    <row r="2739" ht="25" customHeight="1" spans="1:8">
      <c r="A2739" s="6">
        <v>2737</v>
      </c>
      <c r="B2739" s="7" t="str">
        <f t="shared" si="650"/>
        <v>105</v>
      </c>
      <c r="C2739" s="7" t="s">
        <v>2002</v>
      </c>
      <c r="D2739" s="7" t="s">
        <v>2003</v>
      </c>
      <c r="E2739" s="7" t="str">
        <f>"邢统"</f>
        <v>邢统</v>
      </c>
      <c r="F2739" s="7" t="str">
        <f t="shared" ref="F2739:F2744" si="662">"男"</f>
        <v>男</v>
      </c>
      <c r="G2739" s="7" t="s">
        <v>2269</v>
      </c>
      <c r="H2739" s="8"/>
    </row>
    <row r="2740" ht="25" customHeight="1" spans="1:8">
      <c r="A2740" s="6">
        <v>2738</v>
      </c>
      <c r="B2740" s="7" t="str">
        <f t="shared" si="650"/>
        <v>105</v>
      </c>
      <c r="C2740" s="7" t="s">
        <v>2002</v>
      </c>
      <c r="D2740" s="7" t="s">
        <v>2003</v>
      </c>
      <c r="E2740" s="7" t="str">
        <f>"王招凯"</f>
        <v>王招凯</v>
      </c>
      <c r="F2740" s="7" t="str">
        <f t="shared" si="662"/>
        <v>男</v>
      </c>
      <c r="G2740" s="7" t="s">
        <v>2270</v>
      </c>
      <c r="H2740" s="8"/>
    </row>
    <row r="2741" ht="25" customHeight="1" spans="1:8">
      <c r="A2741" s="6">
        <v>2739</v>
      </c>
      <c r="B2741" s="7" t="str">
        <f t="shared" si="650"/>
        <v>105</v>
      </c>
      <c r="C2741" s="7" t="s">
        <v>2002</v>
      </c>
      <c r="D2741" s="7" t="s">
        <v>2003</v>
      </c>
      <c r="E2741" s="7" t="str">
        <f>"孙莜"</f>
        <v>孙莜</v>
      </c>
      <c r="F2741" s="7" t="str">
        <f>"女"</f>
        <v>女</v>
      </c>
      <c r="G2741" s="7" t="s">
        <v>650</v>
      </c>
      <c r="H2741" s="8"/>
    </row>
    <row r="2742" ht="25" customHeight="1" spans="1:8">
      <c r="A2742" s="6">
        <v>2740</v>
      </c>
      <c r="B2742" s="7" t="str">
        <f t="shared" si="650"/>
        <v>105</v>
      </c>
      <c r="C2742" s="7" t="s">
        <v>2002</v>
      </c>
      <c r="D2742" s="7" t="s">
        <v>2003</v>
      </c>
      <c r="E2742" s="7" t="str">
        <f>"符宇"</f>
        <v>符宇</v>
      </c>
      <c r="F2742" s="7" t="str">
        <f t="shared" si="662"/>
        <v>男</v>
      </c>
      <c r="G2742" s="7" t="s">
        <v>192</v>
      </c>
      <c r="H2742" s="8"/>
    </row>
    <row r="2743" ht="25" customHeight="1" spans="1:8">
      <c r="A2743" s="6">
        <v>2741</v>
      </c>
      <c r="B2743" s="7" t="str">
        <f t="shared" si="650"/>
        <v>105</v>
      </c>
      <c r="C2743" s="7" t="s">
        <v>2002</v>
      </c>
      <c r="D2743" s="7" t="s">
        <v>2003</v>
      </c>
      <c r="E2743" s="7" t="str">
        <f>"邓国斌"</f>
        <v>邓国斌</v>
      </c>
      <c r="F2743" s="7" t="str">
        <f t="shared" si="662"/>
        <v>男</v>
      </c>
      <c r="G2743" s="7" t="s">
        <v>2271</v>
      </c>
      <c r="H2743" s="8"/>
    </row>
    <row r="2744" ht="25" customHeight="1" spans="1:8">
      <c r="A2744" s="6">
        <v>2742</v>
      </c>
      <c r="B2744" s="7" t="str">
        <f t="shared" si="650"/>
        <v>105</v>
      </c>
      <c r="C2744" s="7" t="s">
        <v>2002</v>
      </c>
      <c r="D2744" s="7" t="s">
        <v>2003</v>
      </c>
      <c r="E2744" s="7" t="str">
        <f>"莫家冰"</f>
        <v>莫家冰</v>
      </c>
      <c r="F2744" s="7" t="str">
        <f t="shared" si="662"/>
        <v>男</v>
      </c>
      <c r="G2744" s="7" t="s">
        <v>2272</v>
      </c>
      <c r="H2744" s="8"/>
    </row>
    <row r="2745" ht="25" customHeight="1" spans="1:8">
      <c r="A2745" s="6">
        <v>2743</v>
      </c>
      <c r="B2745" s="7" t="str">
        <f t="shared" si="650"/>
        <v>105</v>
      </c>
      <c r="C2745" s="7" t="s">
        <v>2002</v>
      </c>
      <c r="D2745" s="7" t="s">
        <v>2003</v>
      </c>
      <c r="E2745" s="7" t="str">
        <f>"王佳佳"</f>
        <v>王佳佳</v>
      </c>
      <c r="F2745" s="7" t="str">
        <f t="shared" ref="F2745:F2749" si="663">"女"</f>
        <v>女</v>
      </c>
      <c r="G2745" s="7" t="s">
        <v>2273</v>
      </c>
      <c r="H2745" s="8"/>
    </row>
    <row r="2746" ht="25" customHeight="1" spans="1:8">
      <c r="A2746" s="6">
        <v>2744</v>
      </c>
      <c r="B2746" s="7" t="str">
        <f t="shared" si="650"/>
        <v>105</v>
      </c>
      <c r="C2746" s="7" t="s">
        <v>2002</v>
      </c>
      <c r="D2746" s="7" t="s">
        <v>2003</v>
      </c>
      <c r="E2746" s="7" t="str">
        <f>"邢辰烨"</f>
        <v>邢辰烨</v>
      </c>
      <c r="F2746" s="7" t="str">
        <f t="shared" ref="F2746:F2750" si="664">"男"</f>
        <v>男</v>
      </c>
      <c r="G2746" s="7" t="s">
        <v>2274</v>
      </c>
      <c r="H2746" s="8"/>
    </row>
    <row r="2747" ht="25" customHeight="1" spans="1:8">
      <c r="A2747" s="6">
        <v>2745</v>
      </c>
      <c r="B2747" s="7" t="str">
        <f t="shared" si="650"/>
        <v>105</v>
      </c>
      <c r="C2747" s="7" t="s">
        <v>2002</v>
      </c>
      <c r="D2747" s="7" t="s">
        <v>2003</v>
      </c>
      <c r="E2747" s="7" t="str">
        <f>"卢发宝"</f>
        <v>卢发宝</v>
      </c>
      <c r="F2747" s="7" t="str">
        <f t="shared" si="664"/>
        <v>男</v>
      </c>
      <c r="G2747" s="7" t="s">
        <v>1709</v>
      </c>
      <c r="H2747" s="8"/>
    </row>
    <row r="2748" ht="25" customHeight="1" spans="1:8">
      <c r="A2748" s="6">
        <v>2746</v>
      </c>
      <c r="B2748" s="7" t="str">
        <f t="shared" si="650"/>
        <v>105</v>
      </c>
      <c r="C2748" s="7" t="s">
        <v>2002</v>
      </c>
      <c r="D2748" s="7" t="s">
        <v>2003</v>
      </c>
      <c r="E2748" s="7" t="str">
        <f>"王一云"</f>
        <v>王一云</v>
      </c>
      <c r="F2748" s="7" t="str">
        <f t="shared" si="663"/>
        <v>女</v>
      </c>
      <c r="G2748" s="7" t="s">
        <v>2275</v>
      </c>
      <c r="H2748" s="8"/>
    </row>
    <row r="2749" ht="25" customHeight="1" spans="1:8">
      <c r="A2749" s="6">
        <v>2747</v>
      </c>
      <c r="B2749" s="7" t="str">
        <f t="shared" si="650"/>
        <v>105</v>
      </c>
      <c r="C2749" s="7" t="s">
        <v>2002</v>
      </c>
      <c r="D2749" s="7" t="s">
        <v>2003</v>
      </c>
      <c r="E2749" s="7" t="str">
        <f>"黄佳欣"</f>
        <v>黄佳欣</v>
      </c>
      <c r="F2749" s="7" t="str">
        <f t="shared" si="663"/>
        <v>女</v>
      </c>
      <c r="G2749" s="7" t="s">
        <v>2276</v>
      </c>
      <c r="H2749" s="8"/>
    </row>
    <row r="2750" ht="25" customHeight="1" spans="1:8">
      <c r="A2750" s="6">
        <v>2748</v>
      </c>
      <c r="B2750" s="7" t="str">
        <f t="shared" si="650"/>
        <v>105</v>
      </c>
      <c r="C2750" s="7" t="s">
        <v>2002</v>
      </c>
      <c r="D2750" s="7" t="s">
        <v>2003</v>
      </c>
      <c r="E2750" s="7" t="str">
        <f>"张舵"</f>
        <v>张舵</v>
      </c>
      <c r="F2750" s="7" t="str">
        <f t="shared" si="664"/>
        <v>男</v>
      </c>
      <c r="G2750" s="7" t="s">
        <v>2277</v>
      </c>
      <c r="H2750" s="8"/>
    </row>
    <row r="2751" ht="25" customHeight="1" spans="1:8">
      <c r="A2751" s="6">
        <v>2749</v>
      </c>
      <c r="B2751" s="7" t="str">
        <f t="shared" si="650"/>
        <v>105</v>
      </c>
      <c r="C2751" s="7" t="s">
        <v>2002</v>
      </c>
      <c r="D2751" s="7" t="s">
        <v>2003</v>
      </c>
      <c r="E2751" s="7" t="str">
        <f>"蔡丹丹"</f>
        <v>蔡丹丹</v>
      </c>
      <c r="F2751" s="7" t="str">
        <f t="shared" ref="F2751:F2755" si="665">"女"</f>
        <v>女</v>
      </c>
      <c r="G2751" s="7" t="s">
        <v>2278</v>
      </c>
      <c r="H2751" s="8"/>
    </row>
    <row r="2752" ht="25" customHeight="1" spans="1:8">
      <c r="A2752" s="6">
        <v>2750</v>
      </c>
      <c r="B2752" s="7" t="str">
        <f t="shared" si="650"/>
        <v>105</v>
      </c>
      <c r="C2752" s="7" t="s">
        <v>2002</v>
      </c>
      <c r="D2752" s="7" t="s">
        <v>2003</v>
      </c>
      <c r="E2752" s="7" t="str">
        <f>"陈景泉"</f>
        <v>陈景泉</v>
      </c>
      <c r="F2752" s="7" t="str">
        <f t="shared" ref="F2752:F2756" si="666">"男"</f>
        <v>男</v>
      </c>
      <c r="G2752" s="7" t="s">
        <v>2279</v>
      </c>
      <c r="H2752" s="8"/>
    </row>
    <row r="2753" ht="25" customHeight="1" spans="1:8">
      <c r="A2753" s="6">
        <v>2751</v>
      </c>
      <c r="B2753" s="7" t="str">
        <f t="shared" si="650"/>
        <v>105</v>
      </c>
      <c r="C2753" s="7" t="s">
        <v>2002</v>
      </c>
      <c r="D2753" s="7" t="s">
        <v>2003</v>
      </c>
      <c r="E2753" s="7" t="str">
        <f>"王瑜"</f>
        <v>王瑜</v>
      </c>
      <c r="F2753" s="7" t="str">
        <f t="shared" si="665"/>
        <v>女</v>
      </c>
      <c r="G2753" s="7" t="s">
        <v>2280</v>
      </c>
      <c r="H2753" s="8"/>
    </row>
    <row r="2754" ht="25" customHeight="1" spans="1:8">
      <c r="A2754" s="6">
        <v>2752</v>
      </c>
      <c r="B2754" s="7" t="str">
        <f t="shared" si="650"/>
        <v>105</v>
      </c>
      <c r="C2754" s="7" t="s">
        <v>2002</v>
      </c>
      <c r="D2754" s="7" t="s">
        <v>2003</v>
      </c>
      <c r="E2754" s="7" t="str">
        <f>"孙海鸿"</f>
        <v>孙海鸿</v>
      </c>
      <c r="F2754" s="7" t="str">
        <f t="shared" si="666"/>
        <v>男</v>
      </c>
      <c r="G2754" s="7" t="s">
        <v>2281</v>
      </c>
      <c r="H2754" s="8"/>
    </row>
    <row r="2755" ht="25" customHeight="1" spans="1:8">
      <c r="A2755" s="6">
        <v>2753</v>
      </c>
      <c r="B2755" s="7" t="str">
        <f t="shared" si="650"/>
        <v>105</v>
      </c>
      <c r="C2755" s="7" t="s">
        <v>2002</v>
      </c>
      <c r="D2755" s="7" t="s">
        <v>2003</v>
      </c>
      <c r="E2755" s="7" t="str">
        <f>"符谷晓"</f>
        <v>符谷晓</v>
      </c>
      <c r="F2755" s="7" t="str">
        <f t="shared" si="665"/>
        <v>女</v>
      </c>
      <c r="G2755" s="7" t="s">
        <v>709</v>
      </c>
      <c r="H2755" s="8"/>
    </row>
    <row r="2756" ht="25" customHeight="1" spans="1:8">
      <c r="A2756" s="6">
        <v>2754</v>
      </c>
      <c r="B2756" s="7" t="str">
        <f t="shared" ref="B2756:B2784" si="667">"105"</f>
        <v>105</v>
      </c>
      <c r="C2756" s="7" t="s">
        <v>2002</v>
      </c>
      <c r="D2756" s="7" t="s">
        <v>2003</v>
      </c>
      <c r="E2756" s="7" t="str">
        <f>"罗桂林"</f>
        <v>罗桂林</v>
      </c>
      <c r="F2756" s="7" t="str">
        <f t="shared" si="666"/>
        <v>男</v>
      </c>
      <c r="G2756" s="7" t="s">
        <v>2282</v>
      </c>
      <c r="H2756" s="8"/>
    </row>
    <row r="2757" ht="25" customHeight="1" spans="1:8">
      <c r="A2757" s="6">
        <v>2755</v>
      </c>
      <c r="B2757" s="7" t="str">
        <f t="shared" si="667"/>
        <v>105</v>
      </c>
      <c r="C2757" s="7" t="s">
        <v>2002</v>
      </c>
      <c r="D2757" s="7" t="s">
        <v>2003</v>
      </c>
      <c r="E2757" s="7" t="str">
        <f>"徐艺洋"</f>
        <v>徐艺洋</v>
      </c>
      <c r="F2757" s="7" t="str">
        <f t="shared" ref="F2757:F2759" si="668">"女"</f>
        <v>女</v>
      </c>
      <c r="G2757" s="7" t="s">
        <v>2283</v>
      </c>
      <c r="H2757" s="8"/>
    </row>
    <row r="2758" ht="25" customHeight="1" spans="1:8">
      <c r="A2758" s="6">
        <v>2756</v>
      </c>
      <c r="B2758" s="7" t="str">
        <f t="shared" si="667"/>
        <v>105</v>
      </c>
      <c r="C2758" s="7" t="s">
        <v>2002</v>
      </c>
      <c r="D2758" s="7" t="s">
        <v>2003</v>
      </c>
      <c r="E2758" s="7" t="str">
        <f>"周锴"</f>
        <v>周锴</v>
      </c>
      <c r="F2758" s="7" t="str">
        <f t="shared" si="668"/>
        <v>女</v>
      </c>
      <c r="G2758" s="7" t="s">
        <v>2284</v>
      </c>
      <c r="H2758" s="8"/>
    </row>
    <row r="2759" ht="25" customHeight="1" spans="1:8">
      <c r="A2759" s="6">
        <v>2757</v>
      </c>
      <c r="B2759" s="7" t="str">
        <f t="shared" si="667"/>
        <v>105</v>
      </c>
      <c r="C2759" s="7" t="s">
        <v>2002</v>
      </c>
      <c r="D2759" s="7" t="s">
        <v>2003</v>
      </c>
      <c r="E2759" s="7" t="str">
        <f>"周春玉"</f>
        <v>周春玉</v>
      </c>
      <c r="F2759" s="7" t="str">
        <f t="shared" si="668"/>
        <v>女</v>
      </c>
      <c r="G2759" s="7" t="s">
        <v>981</v>
      </c>
      <c r="H2759" s="8"/>
    </row>
    <row r="2760" ht="25" customHeight="1" spans="1:8">
      <c r="A2760" s="6">
        <v>2758</v>
      </c>
      <c r="B2760" s="7" t="str">
        <f t="shared" si="667"/>
        <v>105</v>
      </c>
      <c r="C2760" s="7" t="s">
        <v>2002</v>
      </c>
      <c r="D2760" s="7" t="s">
        <v>2003</v>
      </c>
      <c r="E2760" s="7" t="str">
        <f>"陈国琼"</f>
        <v>陈国琼</v>
      </c>
      <c r="F2760" s="7" t="str">
        <f t="shared" ref="F2760:F2763" si="669">"男"</f>
        <v>男</v>
      </c>
      <c r="G2760" s="7" t="s">
        <v>1886</v>
      </c>
      <c r="H2760" s="8"/>
    </row>
    <row r="2761" ht="25" customHeight="1" spans="1:8">
      <c r="A2761" s="6">
        <v>2759</v>
      </c>
      <c r="B2761" s="7" t="str">
        <f t="shared" si="667"/>
        <v>105</v>
      </c>
      <c r="C2761" s="7" t="s">
        <v>2002</v>
      </c>
      <c r="D2761" s="7" t="s">
        <v>2003</v>
      </c>
      <c r="E2761" s="7" t="str">
        <f>"黄晶晶"</f>
        <v>黄晶晶</v>
      </c>
      <c r="F2761" s="7" t="str">
        <f t="shared" ref="F2761:F2767" si="670">"女"</f>
        <v>女</v>
      </c>
      <c r="G2761" s="7" t="s">
        <v>2285</v>
      </c>
      <c r="H2761" s="8"/>
    </row>
    <row r="2762" ht="25" customHeight="1" spans="1:8">
      <c r="A2762" s="6">
        <v>2760</v>
      </c>
      <c r="B2762" s="7" t="str">
        <f t="shared" si="667"/>
        <v>105</v>
      </c>
      <c r="C2762" s="7" t="s">
        <v>2002</v>
      </c>
      <c r="D2762" s="7" t="s">
        <v>2003</v>
      </c>
      <c r="E2762" s="7" t="str">
        <f>"林铨"</f>
        <v>林铨</v>
      </c>
      <c r="F2762" s="7" t="str">
        <f t="shared" si="669"/>
        <v>男</v>
      </c>
      <c r="G2762" s="7" t="s">
        <v>2286</v>
      </c>
      <c r="H2762" s="8"/>
    </row>
    <row r="2763" ht="25" customHeight="1" spans="1:8">
      <c r="A2763" s="6">
        <v>2761</v>
      </c>
      <c r="B2763" s="7" t="str">
        <f t="shared" si="667"/>
        <v>105</v>
      </c>
      <c r="C2763" s="7" t="s">
        <v>2002</v>
      </c>
      <c r="D2763" s="7" t="s">
        <v>2003</v>
      </c>
      <c r="E2763" s="7" t="str">
        <f>"符昌霖"</f>
        <v>符昌霖</v>
      </c>
      <c r="F2763" s="7" t="str">
        <f t="shared" si="669"/>
        <v>男</v>
      </c>
      <c r="G2763" s="7" t="s">
        <v>2287</v>
      </c>
      <c r="H2763" s="8"/>
    </row>
    <row r="2764" ht="25" customHeight="1" spans="1:8">
      <c r="A2764" s="6">
        <v>2762</v>
      </c>
      <c r="B2764" s="7" t="str">
        <f t="shared" si="667"/>
        <v>105</v>
      </c>
      <c r="C2764" s="7" t="s">
        <v>2002</v>
      </c>
      <c r="D2764" s="7" t="s">
        <v>2003</v>
      </c>
      <c r="E2764" s="7" t="str">
        <f>"方洁云"</f>
        <v>方洁云</v>
      </c>
      <c r="F2764" s="7" t="str">
        <f t="shared" si="670"/>
        <v>女</v>
      </c>
      <c r="G2764" s="7" t="s">
        <v>2288</v>
      </c>
      <c r="H2764" s="8"/>
    </row>
    <row r="2765" ht="25" customHeight="1" spans="1:8">
      <c r="A2765" s="6">
        <v>2763</v>
      </c>
      <c r="B2765" s="7" t="str">
        <f t="shared" si="667"/>
        <v>105</v>
      </c>
      <c r="C2765" s="7" t="s">
        <v>2002</v>
      </c>
      <c r="D2765" s="7" t="s">
        <v>2003</v>
      </c>
      <c r="E2765" s="7" t="str">
        <f>"严慧雅"</f>
        <v>严慧雅</v>
      </c>
      <c r="F2765" s="7" t="str">
        <f t="shared" si="670"/>
        <v>女</v>
      </c>
      <c r="G2765" s="7" t="s">
        <v>2289</v>
      </c>
      <c r="H2765" s="8"/>
    </row>
    <row r="2766" ht="25" customHeight="1" spans="1:8">
      <c r="A2766" s="6">
        <v>2764</v>
      </c>
      <c r="B2766" s="7" t="str">
        <f t="shared" si="667"/>
        <v>105</v>
      </c>
      <c r="C2766" s="7" t="s">
        <v>2002</v>
      </c>
      <c r="D2766" s="7" t="s">
        <v>2003</v>
      </c>
      <c r="E2766" s="7" t="str">
        <f>"黄晓莉"</f>
        <v>黄晓莉</v>
      </c>
      <c r="F2766" s="7" t="str">
        <f t="shared" si="670"/>
        <v>女</v>
      </c>
      <c r="G2766" s="7" t="s">
        <v>2290</v>
      </c>
      <c r="H2766" s="8"/>
    </row>
    <row r="2767" ht="25" customHeight="1" spans="1:8">
      <c r="A2767" s="6">
        <v>2765</v>
      </c>
      <c r="B2767" s="7" t="str">
        <f t="shared" si="667"/>
        <v>105</v>
      </c>
      <c r="C2767" s="7" t="s">
        <v>2002</v>
      </c>
      <c r="D2767" s="7" t="s">
        <v>2003</v>
      </c>
      <c r="E2767" s="7" t="str">
        <f>"梁秋南"</f>
        <v>梁秋南</v>
      </c>
      <c r="F2767" s="7" t="str">
        <f t="shared" si="670"/>
        <v>女</v>
      </c>
      <c r="G2767" s="7" t="s">
        <v>2291</v>
      </c>
      <c r="H2767" s="8"/>
    </row>
    <row r="2768" ht="25" customHeight="1" spans="1:8">
      <c r="A2768" s="6">
        <v>2766</v>
      </c>
      <c r="B2768" s="7" t="str">
        <f t="shared" si="667"/>
        <v>105</v>
      </c>
      <c r="C2768" s="7" t="s">
        <v>2002</v>
      </c>
      <c r="D2768" s="7" t="s">
        <v>2003</v>
      </c>
      <c r="E2768" s="7" t="str">
        <f>"周谦青"</f>
        <v>周谦青</v>
      </c>
      <c r="F2768" s="7" t="str">
        <f t="shared" ref="F2768:F2771" si="671">"男"</f>
        <v>男</v>
      </c>
      <c r="G2768" s="7" t="s">
        <v>2292</v>
      </c>
      <c r="H2768" s="8"/>
    </row>
    <row r="2769" ht="25" customHeight="1" spans="1:8">
      <c r="A2769" s="6">
        <v>2767</v>
      </c>
      <c r="B2769" s="7" t="str">
        <f t="shared" si="667"/>
        <v>105</v>
      </c>
      <c r="C2769" s="7" t="s">
        <v>2002</v>
      </c>
      <c r="D2769" s="7" t="s">
        <v>2003</v>
      </c>
      <c r="E2769" s="7" t="str">
        <f>"张曼"</f>
        <v>张曼</v>
      </c>
      <c r="F2769" s="7" t="str">
        <f t="shared" ref="F2769:F2781" si="672">"女"</f>
        <v>女</v>
      </c>
      <c r="G2769" s="7" t="s">
        <v>2293</v>
      </c>
      <c r="H2769" s="8"/>
    </row>
    <row r="2770" ht="25" customHeight="1" spans="1:8">
      <c r="A2770" s="6">
        <v>2768</v>
      </c>
      <c r="B2770" s="7" t="str">
        <f t="shared" si="667"/>
        <v>105</v>
      </c>
      <c r="C2770" s="7" t="s">
        <v>2002</v>
      </c>
      <c r="D2770" s="7" t="s">
        <v>2003</v>
      </c>
      <c r="E2770" s="7" t="str">
        <f>"田明宇"</f>
        <v>田明宇</v>
      </c>
      <c r="F2770" s="7" t="str">
        <f t="shared" si="671"/>
        <v>男</v>
      </c>
      <c r="G2770" s="7" t="s">
        <v>2294</v>
      </c>
      <c r="H2770" s="8"/>
    </row>
    <row r="2771" ht="25" customHeight="1" spans="1:8">
      <c r="A2771" s="6">
        <v>2769</v>
      </c>
      <c r="B2771" s="7" t="str">
        <f t="shared" si="667"/>
        <v>105</v>
      </c>
      <c r="C2771" s="7" t="s">
        <v>2002</v>
      </c>
      <c r="D2771" s="7" t="s">
        <v>2003</v>
      </c>
      <c r="E2771" s="7" t="str">
        <f>"陈少泼"</f>
        <v>陈少泼</v>
      </c>
      <c r="F2771" s="7" t="str">
        <f t="shared" si="671"/>
        <v>男</v>
      </c>
      <c r="G2771" s="7" t="s">
        <v>1359</v>
      </c>
      <c r="H2771" s="8"/>
    </row>
    <row r="2772" ht="25" customHeight="1" spans="1:8">
      <c r="A2772" s="6">
        <v>2770</v>
      </c>
      <c r="B2772" s="7" t="str">
        <f t="shared" si="667"/>
        <v>105</v>
      </c>
      <c r="C2772" s="7" t="s">
        <v>2002</v>
      </c>
      <c r="D2772" s="7" t="s">
        <v>2003</v>
      </c>
      <c r="E2772" s="7" t="str">
        <f>"张宇航"</f>
        <v>张宇航</v>
      </c>
      <c r="F2772" s="7" t="str">
        <f t="shared" si="672"/>
        <v>女</v>
      </c>
      <c r="G2772" s="7" t="s">
        <v>2295</v>
      </c>
      <c r="H2772" s="8"/>
    </row>
    <row r="2773" ht="25" customHeight="1" spans="1:8">
      <c r="A2773" s="6">
        <v>2771</v>
      </c>
      <c r="B2773" s="7" t="str">
        <f t="shared" si="667"/>
        <v>105</v>
      </c>
      <c r="C2773" s="7" t="s">
        <v>2002</v>
      </c>
      <c r="D2773" s="7" t="s">
        <v>2003</v>
      </c>
      <c r="E2773" s="7" t="str">
        <f>"钟泽欣"</f>
        <v>钟泽欣</v>
      </c>
      <c r="F2773" s="7" t="str">
        <f t="shared" si="672"/>
        <v>女</v>
      </c>
      <c r="G2773" s="7" t="s">
        <v>2296</v>
      </c>
      <c r="H2773" s="8"/>
    </row>
    <row r="2774" ht="25" customHeight="1" spans="1:8">
      <c r="A2774" s="6">
        <v>2772</v>
      </c>
      <c r="B2774" s="7" t="str">
        <f t="shared" si="667"/>
        <v>105</v>
      </c>
      <c r="C2774" s="7" t="s">
        <v>2002</v>
      </c>
      <c r="D2774" s="7" t="s">
        <v>2003</v>
      </c>
      <c r="E2774" s="7" t="str">
        <f>"林巧玲"</f>
        <v>林巧玲</v>
      </c>
      <c r="F2774" s="7" t="str">
        <f t="shared" si="672"/>
        <v>女</v>
      </c>
      <c r="G2774" s="7" t="s">
        <v>2297</v>
      </c>
      <c r="H2774" s="8"/>
    </row>
    <row r="2775" ht="25" customHeight="1" spans="1:8">
      <c r="A2775" s="6">
        <v>2773</v>
      </c>
      <c r="B2775" s="7" t="str">
        <f t="shared" si="667"/>
        <v>105</v>
      </c>
      <c r="C2775" s="7" t="s">
        <v>2002</v>
      </c>
      <c r="D2775" s="7" t="s">
        <v>2003</v>
      </c>
      <c r="E2775" s="7" t="str">
        <f>"黄小芬"</f>
        <v>黄小芬</v>
      </c>
      <c r="F2775" s="7" t="str">
        <f t="shared" si="672"/>
        <v>女</v>
      </c>
      <c r="G2775" s="7" t="s">
        <v>1612</v>
      </c>
      <c r="H2775" s="8"/>
    </row>
    <row r="2776" ht="25" customHeight="1" spans="1:8">
      <c r="A2776" s="6">
        <v>2774</v>
      </c>
      <c r="B2776" s="7" t="str">
        <f t="shared" si="667"/>
        <v>105</v>
      </c>
      <c r="C2776" s="7" t="s">
        <v>2002</v>
      </c>
      <c r="D2776" s="7" t="s">
        <v>2003</v>
      </c>
      <c r="E2776" s="7" t="str">
        <f>"刘姝平"</f>
        <v>刘姝平</v>
      </c>
      <c r="F2776" s="7" t="str">
        <f t="shared" si="672"/>
        <v>女</v>
      </c>
      <c r="G2776" s="7" t="s">
        <v>684</v>
      </c>
      <c r="H2776" s="8"/>
    </row>
    <row r="2777" ht="25" customHeight="1" spans="1:8">
      <c r="A2777" s="6">
        <v>2775</v>
      </c>
      <c r="B2777" s="7" t="str">
        <f t="shared" si="667"/>
        <v>105</v>
      </c>
      <c r="C2777" s="7" t="s">
        <v>2002</v>
      </c>
      <c r="D2777" s="7" t="s">
        <v>2003</v>
      </c>
      <c r="E2777" s="7" t="str">
        <f>"王爽"</f>
        <v>王爽</v>
      </c>
      <c r="F2777" s="7" t="str">
        <f t="shared" si="672"/>
        <v>女</v>
      </c>
      <c r="G2777" s="7" t="s">
        <v>2298</v>
      </c>
      <c r="H2777" s="8"/>
    </row>
    <row r="2778" ht="25" customHeight="1" spans="1:8">
      <c r="A2778" s="6">
        <v>2776</v>
      </c>
      <c r="B2778" s="7" t="str">
        <f t="shared" si="667"/>
        <v>105</v>
      </c>
      <c r="C2778" s="7" t="s">
        <v>2002</v>
      </c>
      <c r="D2778" s="7" t="s">
        <v>2003</v>
      </c>
      <c r="E2778" s="7" t="str">
        <f>"贾婷婷"</f>
        <v>贾婷婷</v>
      </c>
      <c r="F2778" s="7" t="str">
        <f t="shared" si="672"/>
        <v>女</v>
      </c>
      <c r="G2778" s="7" t="s">
        <v>2299</v>
      </c>
      <c r="H2778" s="8"/>
    </row>
    <row r="2779" ht="25" customHeight="1" spans="1:8">
      <c r="A2779" s="6">
        <v>2777</v>
      </c>
      <c r="B2779" s="7" t="str">
        <f t="shared" si="667"/>
        <v>105</v>
      </c>
      <c r="C2779" s="7" t="s">
        <v>2002</v>
      </c>
      <c r="D2779" s="7" t="s">
        <v>2003</v>
      </c>
      <c r="E2779" s="7" t="str">
        <f>"唐悦"</f>
        <v>唐悦</v>
      </c>
      <c r="F2779" s="7" t="str">
        <f t="shared" si="672"/>
        <v>女</v>
      </c>
      <c r="G2779" s="7" t="s">
        <v>2300</v>
      </c>
      <c r="H2779" s="8"/>
    </row>
    <row r="2780" ht="25" customHeight="1" spans="1:8">
      <c r="A2780" s="6">
        <v>2778</v>
      </c>
      <c r="B2780" s="7" t="str">
        <f t="shared" si="667"/>
        <v>105</v>
      </c>
      <c r="C2780" s="7" t="s">
        <v>2002</v>
      </c>
      <c r="D2780" s="7" t="s">
        <v>2003</v>
      </c>
      <c r="E2780" s="7" t="str">
        <f>"胡奇欣"</f>
        <v>胡奇欣</v>
      </c>
      <c r="F2780" s="7" t="str">
        <f t="shared" si="672"/>
        <v>女</v>
      </c>
      <c r="G2780" s="7" t="s">
        <v>282</v>
      </c>
      <c r="H2780" s="8"/>
    </row>
    <row r="2781" ht="25" customHeight="1" spans="1:8">
      <c r="A2781" s="6">
        <v>2779</v>
      </c>
      <c r="B2781" s="7" t="str">
        <f t="shared" si="667"/>
        <v>105</v>
      </c>
      <c r="C2781" s="7" t="s">
        <v>2002</v>
      </c>
      <c r="D2781" s="7" t="s">
        <v>2003</v>
      </c>
      <c r="E2781" s="7" t="str">
        <f>"赵源"</f>
        <v>赵源</v>
      </c>
      <c r="F2781" s="7" t="str">
        <f t="shared" si="672"/>
        <v>女</v>
      </c>
      <c r="G2781" s="7" t="s">
        <v>2301</v>
      </c>
      <c r="H2781" s="8"/>
    </row>
    <row r="2782" ht="25" customHeight="1" spans="1:8">
      <c r="A2782" s="6">
        <v>2780</v>
      </c>
      <c r="B2782" s="7" t="str">
        <f t="shared" si="667"/>
        <v>105</v>
      </c>
      <c r="C2782" s="7" t="s">
        <v>2002</v>
      </c>
      <c r="D2782" s="7" t="s">
        <v>2003</v>
      </c>
      <c r="E2782" s="7" t="str">
        <f>"李高宇"</f>
        <v>李高宇</v>
      </c>
      <c r="F2782" s="7" t="str">
        <f>"男"</f>
        <v>男</v>
      </c>
      <c r="G2782" s="7" t="s">
        <v>2302</v>
      </c>
      <c r="H2782" s="8"/>
    </row>
    <row r="2783" ht="25" customHeight="1" spans="1:8">
      <c r="A2783" s="6">
        <v>2781</v>
      </c>
      <c r="B2783" s="7" t="str">
        <f t="shared" si="667"/>
        <v>105</v>
      </c>
      <c r="C2783" s="7" t="s">
        <v>2002</v>
      </c>
      <c r="D2783" s="7" t="s">
        <v>2003</v>
      </c>
      <c r="E2783" s="7" t="str">
        <f>"赵越"</f>
        <v>赵越</v>
      </c>
      <c r="F2783" s="7" t="str">
        <f t="shared" ref="F2783:F2789" si="673">"女"</f>
        <v>女</v>
      </c>
      <c r="G2783" s="7" t="s">
        <v>2303</v>
      </c>
      <c r="H2783" s="8"/>
    </row>
    <row r="2784" ht="25" customHeight="1" spans="1:8">
      <c r="A2784" s="6">
        <v>2782</v>
      </c>
      <c r="B2784" s="7" t="str">
        <f t="shared" si="667"/>
        <v>105</v>
      </c>
      <c r="C2784" s="7" t="s">
        <v>2002</v>
      </c>
      <c r="D2784" s="7" t="s">
        <v>2003</v>
      </c>
      <c r="E2784" s="7" t="str">
        <f>"张艺波"</f>
        <v>张艺波</v>
      </c>
      <c r="F2784" s="7" t="str">
        <f>"男"</f>
        <v>男</v>
      </c>
      <c r="G2784" s="7" t="s">
        <v>2304</v>
      </c>
      <c r="H2784" s="8"/>
    </row>
    <row r="2785" ht="25" customHeight="1" spans="1:8">
      <c r="A2785" s="6">
        <v>2783</v>
      </c>
      <c r="B2785" s="7" t="str">
        <f t="shared" ref="B2785:B2792" si="674">"201"</f>
        <v>201</v>
      </c>
      <c r="C2785" s="7" t="s">
        <v>2305</v>
      </c>
      <c r="D2785" s="7" t="s">
        <v>2306</v>
      </c>
      <c r="E2785" s="7" t="str">
        <f>"郑海霞"</f>
        <v>郑海霞</v>
      </c>
      <c r="F2785" s="7" t="str">
        <f t="shared" si="673"/>
        <v>女</v>
      </c>
      <c r="G2785" s="7" t="s">
        <v>1570</v>
      </c>
      <c r="H2785" s="8"/>
    </row>
    <row r="2786" ht="25" customHeight="1" spans="1:8">
      <c r="A2786" s="6">
        <v>2784</v>
      </c>
      <c r="B2786" s="7" t="str">
        <f t="shared" si="674"/>
        <v>201</v>
      </c>
      <c r="C2786" s="7" t="s">
        <v>2305</v>
      </c>
      <c r="D2786" s="7" t="s">
        <v>2306</v>
      </c>
      <c r="E2786" s="7" t="str">
        <f>"陈春娥"</f>
        <v>陈春娥</v>
      </c>
      <c r="F2786" s="7" t="str">
        <f t="shared" si="673"/>
        <v>女</v>
      </c>
      <c r="G2786" s="7" t="s">
        <v>2307</v>
      </c>
      <c r="H2786" s="8"/>
    </row>
    <row r="2787" ht="25" customHeight="1" spans="1:8">
      <c r="A2787" s="6">
        <v>2785</v>
      </c>
      <c r="B2787" s="7" t="str">
        <f t="shared" si="674"/>
        <v>201</v>
      </c>
      <c r="C2787" s="7" t="s">
        <v>2305</v>
      </c>
      <c r="D2787" s="7" t="s">
        <v>2306</v>
      </c>
      <c r="E2787" s="7" t="str">
        <f>"黄洁"</f>
        <v>黄洁</v>
      </c>
      <c r="F2787" s="7" t="str">
        <f t="shared" si="673"/>
        <v>女</v>
      </c>
      <c r="G2787" s="7" t="s">
        <v>2308</v>
      </c>
      <c r="H2787" s="8"/>
    </row>
    <row r="2788" ht="25" customHeight="1" spans="1:8">
      <c r="A2788" s="6">
        <v>2786</v>
      </c>
      <c r="B2788" s="7" t="str">
        <f t="shared" si="674"/>
        <v>201</v>
      </c>
      <c r="C2788" s="7" t="s">
        <v>2305</v>
      </c>
      <c r="D2788" s="7" t="s">
        <v>2306</v>
      </c>
      <c r="E2788" s="7" t="str">
        <f>"黄玲"</f>
        <v>黄玲</v>
      </c>
      <c r="F2788" s="7" t="str">
        <f t="shared" si="673"/>
        <v>女</v>
      </c>
      <c r="G2788" s="7" t="s">
        <v>905</v>
      </c>
      <c r="H2788" s="8"/>
    </row>
    <row r="2789" ht="25" customHeight="1" spans="1:8">
      <c r="A2789" s="6">
        <v>2787</v>
      </c>
      <c r="B2789" s="7" t="str">
        <f t="shared" si="674"/>
        <v>201</v>
      </c>
      <c r="C2789" s="7" t="s">
        <v>2305</v>
      </c>
      <c r="D2789" s="7" t="s">
        <v>2306</v>
      </c>
      <c r="E2789" s="7" t="str">
        <f>"吉受玲"</f>
        <v>吉受玲</v>
      </c>
      <c r="F2789" s="7" t="str">
        <f t="shared" si="673"/>
        <v>女</v>
      </c>
      <c r="G2789" s="7" t="s">
        <v>2309</v>
      </c>
      <c r="H2789" s="8"/>
    </row>
    <row r="2790" ht="25" customHeight="1" spans="1:8">
      <c r="A2790" s="6">
        <v>2788</v>
      </c>
      <c r="B2790" s="7" t="str">
        <f t="shared" si="674"/>
        <v>201</v>
      </c>
      <c r="C2790" s="7" t="s">
        <v>2305</v>
      </c>
      <c r="D2790" s="7" t="s">
        <v>2306</v>
      </c>
      <c r="E2790" s="7" t="str">
        <f>"连萌"</f>
        <v>连萌</v>
      </c>
      <c r="F2790" s="7" t="str">
        <f>"男"</f>
        <v>男</v>
      </c>
      <c r="G2790" s="7" t="s">
        <v>2310</v>
      </c>
      <c r="H2790" s="8"/>
    </row>
    <row r="2791" ht="25" customHeight="1" spans="1:8">
      <c r="A2791" s="6">
        <v>2789</v>
      </c>
      <c r="B2791" s="7" t="str">
        <f t="shared" si="674"/>
        <v>201</v>
      </c>
      <c r="C2791" s="7" t="s">
        <v>2305</v>
      </c>
      <c r="D2791" s="7" t="s">
        <v>2306</v>
      </c>
      <c r="E2791" s="7" t="str">
        <f>"王高山"</f>
        <v>王高山</v>
      </c>
      <c r="F2791" s="7" t="str">
        <f>"男"</f>
        <v>男</v>
      </c>
      <c r="G2791" s="7" t="s">
        <v>2311</v>
      </c>
      <c r="H2791" s="8"/>
    </row>
    <row r="2792" ht="25" customHeight="1" spans="1:8">
      <c r="A2792" s="6">
        <v>2790</v>
      </c>
      <c r="B2792" s="7" t="str">
        <f t="shared" si="674"/>
        <v>201</v>
      </c>
      <c r="C2792" s="7" t="s">
        <v>2305</v>
      </c>
      <c r="D2792" s="7" t="s">
        <v>2306</v>
      </c>
      <c r="E2792" s="7" t="str">
        <f>"周天恩"</f>
        <v>周天恩</v>
      </c>
      <c r="F2792" s="7" t="str">
        <f t="shared" ref="F2792:F2808" si="675">"女"</f>
        <v>女</v>
      </c>
      <c r="G2792" s="7" t="s">
        <v>2312</v>
      </c>
      <c r="H2792" s="8"/>
    </row>
    <row r="2793" ht="25" customHeight="1" spans="1:8">
      <c r="A2793" s="6">
        <v>2791</v>
      </c>
      <c r="B2793" s="7" t="str">
        <f t="shared" ref="B2793:B2798" si="676">"202"</f>
        <v>202</v>
      </c>
      <c r="C2793" s="7" t="s">
        <v>2313</v>
      </c>
      <c r="D2793" s="7" t="s">
        <v>2306</v>
      </c>
      <c r="E2793" s="7" t="str">
        <f>"王金荣"</f>
        <v>王金荣</v>
      </c>
      <c r="F2793" s="7" t="str">
        <f t="shared" si="675"/>
        <v>女</v>
      </c>
      <c r="G2793" s="7" t="s">
        <v>2314</v>
      </c>
      <c r="H2793" s="8"/>
    </row>
    <row r="2794" ht="25" customHeight="1" spans="1:8">
      <c r="A2794" s="6">
        <v>2792</v>
      </c>
      <c r="B2794" s="7" t="str">
        <f t="shared" si="676"/>
        <v>202</v>
      </c>
      <c r="C2794" s="7" t="s">
        <v>2313</v>
      </c>
      <c r="D2794" s="7" t="s">
        <v>2306</v>
      </c>
      <c r="E2794" s="7" t="str">
        <f>"王小金"</f>
        <v>王小金</v>
      </c>
      <c r="F2794" s="7" t="str">
        <f t="shared" si="675"/>
        <v>女</v>
      </c>
      <c r="G2794" s="7" t="s">
        <v>701</v>
      </c>
      <c r="H2794" s="8"/>
    </row>
    <row r="2795" ht="25" customHeight="1" spans="1:8">
      <c r="A2795" s="6">
        <v>2793</v>
      </c>
      <c r="B2795" s="7" t="str">
        <f t="shared" si="676"/>
        <v>202</v>
      </c>
      <c r="C2795" s="7" t="s">
        <v>2313</v>
      </c>
      <c r="D2795" s="7" t="s">
        <v>2306</v>
      </c>
      <c r="E2795" s="7" t="str">
        <f>"刘爱红"</f>
        <v>刘爱红</v>
      </c>
      <c r="F2795" s="7" t="str">
        <f t="shared" si="675"/>
        <v>女</v>
      </c>
      <c r="G2795" s="7" t="s">
        <v>2315</v>
      </c>
      <c r="H2795" s="8"/>
    </row>
    <row r="2796" ht="25" customHeight="1" spans="1:8">
      <c r="A2796" s="6">
        <v>2794</v>
      </c>
      <c r="B2796" s="7" t="str">
        <f t="shared" si="676"/>
        <v>202</v>
      </c>
      <c r="C2796" s="7" t="s">
        <v>2313</v>
      </c>
      <c r="D2796" s="7" t="s">
        <v>2306</v>
      </c>
      <c r="E2796" s="7" t="str">
        <f>"杨英乔"</f>
        <v>杨英乔</v>
      </c>
      <c r="F2796" s="7" t="str">
        <f t="shared" si="675"/>
        <v>女</v>
      </c>
      <c r="G2796" s="7" t="s">
        <v>2316</v>
      </c>
      <c r="H2796" s="8"/>
    </row>
    <row r="2797" ht="25" customHeight="1" spans="1:8">
      <c r="A2797" s="6">
        <v>2795</v>
      </c>
      <c r="B2797" s="7" t="str">
        <f t="shared" si="676"/>
        <v>202</v>
      </c>
      <c r="C2797" s="7" t="s">
        <v>2313</v>
      </c>
      <c r="D2797" s="7" t="s">
        <v>2306</v>
      </c>
      <c r="E2797" s="7" t="str">
        <f>"苏馨"</f>
        <v>苏馨</v>
      </c>
      <c r="F2797" s="7" t="str">
        <f t="shared" si="675"/>
        <v>女</v>
      </c>
      <c r="G2797" s="7" t="s">
        <v>2317</v>
      </c>
      <c r="H2797" s="8"/>
    </row>
    <row r="2798" ht="25" customHeight="1" spans="1:8">
      <c r="A2798" s="6">
        <v>2796</v>
      </c>
      <c r="B2798" s="7" t="str">
        <f t="shared" si="676"/>
        <v>202</v>
      </c>
      <c r="C2798" s="7" t="s">
        <v>2313</v>
      </c>
      <c r="D2798" s="7" t="s">
        <v>2306</v>
      </c>
      <c r="E2798" s="7" t="str">
        <f>"张金英"</f>
        <v>张金英</v>
      </c>
      <c r="F2798" s="7" t="str">
        <f t="shared" si="675"/>
        <v>女</v>
      </c>
      <c r="G2798" s="7" t="s">
        <v>29</v>
      </c>
      <c r="H2798" s="8"/>
    </row>
    <row r="2799" ht="25" customHeight="1" spans="1:8">
      <c r="A2799" s="6">
        <v>2797</v>
      </c>
      <c r="B2799" s="7" t="str">
        <f t="shared" ref="B2799:B2808" si="677">"203"</f>
        <v>203</v>
      </c>
      <c r="C2799" s="7" t="s">
        <v>2318</v>
      </c>
      <c r="D2799" s="7" t="s">
        <v>2306</v>
      </c>
      <c r="E2799" s="7" t="str">
        <f>"冯莉莉"</f>
        <v>冯莉莉</v>
      </c>
      <c r="F2799" s="7" t="str">
        <f t="shared" si="675"/>
        <v>女</v>
      </c>
      <c r="G2799" s="7" t="s">
        <v>502</v>
      </c>
      <c r="H2799" s="8"/>
    </row>
    <row r="2800" ht="25" customHeight="1" spans="1:8">
      <c r="A2800" s="6">
        <v>2798</v>
      </c>
      <c r="B2800" s="7" t="str">
        <f t="shared" si="677"/>
        <v>203</v>
      </c>
      <c r="C2800" s="7" t="s">
        <v>2318</v>
      </c>
      <c r="D2800" s="7" t="s">
        <v>2306</v>
      </c>
      <c r="E2800" s="7" t="str">
        <f>"王玮晗"</f>
        <v>王玮晗</v>
      </c>
      <c r="F2800" s="7" t="str">
        <f t="shared" si="675"/>
        <v>女</v>
      </c>
      <c r="G2800" s="7" t="s">
        <v>2319</v>
      </c>
      <c r="H2800" s="8"/>
    </row>
    <row r="2801" ht="25" customHeight="1" spans="1:8">
      <c r="A2801" s="6">
        <v>2799</v>
      </c>
      <c r="B2801" s="7" t="str">
        <f t="shared" si="677"/>
        <v>203</v>
      </c>
      <c r="C2801" s="7" t="s">
        <v>2318</v>
      </c>
      <c r="D2801" s="7" t="s">
        <v>2306</v>
      </c>
      <c r="E2801" s="7" t="str">
        <f>"韩宛秀"</f>
        <v>韩宛秀</v>
      </c>
      <c r="F2801" s="7" t="str">
        <f t="shared" si="675"/>
        <v>女</v>
      </c>
      <c r="G2801" s="7" t="s">
        <v>2320</v>
      </c>
      <c r="H2801" s="8"/>
    </row>
    <row r="2802" ht="25" customHeight="1" spans="1:8">
      <c r="A2802" s="6">
        <v>2800</v>
      </c>
      <c r="B2802" s="7" t="str">
        <f t="shared" si="677"/>
        <v>203</v>
      </c>
      <c r="C2802" s="7" t="s">
        <v>2318</v>
      </c>
      <c r="D2802" s="7" t="s">
        <v>2306</v>
      </c>
      <c r="E2802" s="7" t="str">
        <f>"欧紫欣"</f>
        <v>欧紫欣</v>
      </c>
      <c r="F2802" s="7" t="str">
        <f t="shared" si="675"/>
        <v>女</v>
      </c>
      <c r="G2802" s="7" t="s">
        <v>2321</v>
      </c>
      <c r="H2802" s="8"/>
    </row>
    <row r="2803" ht="25" customHeight="1" spans="1:8">
      <c r="A2803" s="6">
        <v>2801</v>
      </c>
      <c r="B2803" s="7" t="str">
        <f t="shared" si="677"/>
        <v>203</v>
      </c>
      <c r="C2803" s="7" t="s">
        <v>2318</v>
      </c>
      <c r="D2803" s="7" t="s">
        <v>2306</v>
      </c>
      <c r="E2803" s="7" t="str">
        <f>"李岸"</f>
        <v>李岸</v>
      </c>
      <c r="F2803" s="7" t="str">
        <f t="shared" si="675"/>
        <v>女</v>
      </c>
      <c r="G2803" s="7" t="s">
        <v>2322</v>
      </c>
      <c r="H2803" s="8"/>
    </row>
    <row r="2804" ht="25" customHeight="1" spans="1:8">
      <c r="A2804" s="6">
        <v>2802</v>
      </c>
      <c r="B2804" s="7" t="str">
        <f t="shared" si="677"/>
        <v>203</v>
      </c>
      <c r="C2804" s="7" t="s">
        <v>2318</v>
      </c>
      <c r="D2804" s="7" t="s">
        <v>2306</v>
      </c>
      <c r="E2804" s="7" t="str">
        <f>"洪丽美"</f>
        <v>洪丽美</v>
      </c>
      <c r="F2804" s="7" t="str">
        <f t="shared" si="675"/>
        <v>女</v>
      </c>
      <c r="G2804" s="7" t="s">
        <v>2323</v>
      </c>
      <c r="H2804" s="8"/>
    </row>
    <row r="2805" ht="25" customHeight="1" spans="1:8">
      <c r="A2805" s="6">
        <v>2803</v>
      </c>
      <c r="B2805" s="7" t="str">
        <f t="shared" si="677"/>
        <v>203</v>
      </c>
      <c r="C2805" s="7" t="s">
        <v>2318</v>
      </c>
      <c r="D2805" s="7" t="s">
        <v>2306</v>
      </c>
      <c r="E2805" s="7" t="str">
        <f>"韩煜苑"</f>
        <v>韩煜苑</v>
      </c>
      <c r="F2805" s="7" t="str">
        <f t="shared" si="675"/>
        <v>女</v>
      </c>
      <c r="G2805" s="7" t="s">
        <v>2324</v>
      </c>
      <c r="H2805" s="8"/>
    </row>
    <row r="2806" ht="25" customHeight="1" spans="1:8">
      <c r="A2806" s="6">
        <v>2804</v>
      </c>
      <c r="B2806" s="7" t="str">
        <f t="shared" si="677"/>
        <v>203</v>
      </c>
      <c r="C2806" s="7" t="s">
        <v>2318</v>
      </c>
      <c r="D2806" s="7" t="s">
        <v>2306</v>
      </c>
      <c r="E2806" s="7" t="str">
        <f>"刘硕"</f>
        <v>刘硕</v>
      </c>
      <c r="F2806" s="7" t="str">
        <f t="shared" si="675"/>
        <v>女</v>
      </c>
      <c r="G2806" s="7" t="s">
        <v>1651</v>
      </c>
      <c r="H2806" s="8"/>
    </row>
    <row r="2807" ht="25" customHeight="1" spans="1:8">
      <c r="A2807" s="6">
        <v>2805</v>
      </c>
      <c r="B2807" s="7" t="str">
        <f t="shared" si="677"/>
        <v>203</v>
      </c>
      <c r="C2807" s="7" t="s">
        <v>2318</v>
      </c>
      <c r="D2807" s="7" t="s">
        <v>2306</v>
      </c>
      <c r="E2807" s="7" t="str">
        <f>"张莉"</f>
        <v>张莉</v>
      </c>
      <c r="F2807" s="7" t="str">
        <f t="shared" si="675"/>
        <v>女</v>
      </c>
      <c r="G2807" s="7" t="s">
        <v>671</v>
      </c>
      <c r="H2807" s="8"/>
    </row>
    <row r="2808" ht="25" customHeight="1" spans="1:8">
      <c r="A2808" s="6">
        <v>2806</v>
      </c>
      <c r="B2808" s="7" t="str">
        <f t="shared" si="677"/>
        <v>203</v>
      </c>
      <c r="C2808" s="7" t="s">
        <v>2318</v>
      </c>
      <c r="D2808" s="7" t="s">
        <v>2306</v>
      </c>
      <c r="E2808" s="7" t="str">
        <f>"黄子虹"</f>
        <v>黄子虹</v>
      </c>
      <c r="F2808" s="7" t="str">
        <f t="shared" si="675"/>
        <v>女</v>
      </c>
      <c r="G2808" s="7" t="s">
        <v>2325</v>
      </c>
      <c r="H2808" s="8"/>
    </row>
    <row r="2809" ht="25" customHeight="1" spans="1:8">
      <c r="A2809" s="6">
        <v>2807</v>
      </c>
      <c r="B2809" s="7" t="str">
        <f t="shared" ref="B2809:B2816" si="678">"204"</f>
        <v>204</v>
      </c>
      <c r="C2809" s="7" t="s">
        <v>2326</v>
      </c>
      <c r="D2809" s="7" t="s">
        <v>2306</v>
      </c>
      <c r="E2809" s="7" t="str">
        <f>"刘栋占"</f>
        <v>刘栋占</v>
      </c>
      <c r="F2809" s="7" t="str">
        <f>"男"</f>
        <v>男</v>
      </c>
      <c r="G2809" s="7" t="s">
        <v>2327</v>
      </c>
      <c r="H2809" s="8"/>
    </row>
    <row r="2810" ht="25" customHeight="1" spans="1:8">
      <c r="A2810" s="6">
        <v>2808</v>
      </c>
      <c r="B2810" s="7" t="str">
        <f t="shared" si="678"/>
        <v>204</v>
      </c>
      <c r="C2810" s="7" t="s">
        <v>2326</v>
      </c>
      <c r="D2810" s="7" t="s">
        <v>2306</v>
      </c>
      <c r="E2810" s="7" t="str">
        <f>"谢东妹"</f>
        <v>谢东妹</v>
      </c>
      <c r="F2810" s="7" t="str">
        <f t="shared" ref="F2810:F2814" si="679">"女"</f>
        <v>女</v>
      </c>
      <c r="G2810" s="7" t="s">
        <v>2328</v>
      </c>
      <c r="H2810" s="8"/>
    </row>
    <row r="2811" ht="25" customHeight="1" spans="1:8">
      <c r="A2811" s="6">
        <v>2809</v>
      </c>
      <c r="B2811" s="7" t="str">
        <f t="shared" si="678"/>
        <v>204</v>
      </c>
      <c r="C2811" s="7" t="s">
        <v>2326</v>
      </c>
      <c r="D2811" s="7" t="s">
        <v>2306</v>
      </c>
      <c r="E2811" s="7" t="str">
        <f>"王鸶颖"</f>
        <v>王鸶颖</v>
      </c>
      <c r="F2811" s="7" t="str">
        <f t="shared" si="679"/>
        <v>女</v>
      </c>
      <c r="G2811" s="7" t="s">
        <v>2329</v>
      </c>
      <c r="H2811" s="8"/>
    </row>
    <row r="2812" ht="25" customHeight="1" spans="1:8">
      <c r="A2812" s="6">
        <v>2810</v>
      </c>
      <c r="B2812" s="7" t="str">
        <f t="shared" si="678"/>
        <v>204</v>
      </c>
      <c r="C2812" s="7" t="s">
        <v>2326</v>
      </c>
      <c r="D2812" s="7" t="s">
        <v>2306</v>
      </c>
      <c r="E2812" s="7" t="str">
        <f>"张宇"</f>
        <v>张宇</v>
      </c>
      <c r="F2812" s="7" t="str">
        <f t="shared" si="679"/>
        <v>女</v>
      </c>
      <c r="G2812" s="7" t="s">
        <v>2330</v>
      </c>
      <c r="H2812" s="8"/>
    </row>
    <row r="2813" ht="25" customHeight="1" spans="1:8">
      <c r="A2813" s="6">
        <v>2811</v>
      </c>
      <c r="B2813" s="7" t="str">
        <f t="shared" si="678"/>
        <v>204</v>
      </c>
      <c r="C2813" s="7" t="s">
        <v>2326</v>
      </c>
      <c r="D2813" s="7" t="s">
        <v>2306</v>
      </c>
      <c r="E2813" s="7" t="str">
        <f>"吴佳柳"</f>
        <v>吴佳柳</v>
      </c>
      <c r="F2813" s="7" t="str">
        <f t="shared" si="679"/>
        <v>女</v>
      </c>
      <c r="G2813" s="7" t="s">
        <v>2331</v>
      </c>
      <c r="H2813" s="8"/>
    </row>
    <row r="2814" ht="25" customHeight="1" spans="1:8">
      <c r="A2814" s="6">
        <v>2812</v>
      </c>
      <c r="B2814" s="7" t="str">
        <f t="shared" si="678"/>
        <v>204</v>
      </c>
      <c r="C2814" s="7" t="s">
        <v>2326</v>
      </c>
      <c r="D2814" s="7" t="s">
        <v>2306</v>
      </c>
      <c r="E2814" s="7" t="str">
        <f>"符媚"</f>
        <v>符媚</v>
      </c>
      <c r="F2814" s="7" t="str">
        <f t="shared" si="679"/>
        <v>女</v>
      </c>
      <c r="G2814" s="7" t="s">
        <v>2332</v>
      </c>
      <c r="H2814" s="8"/>
    </row>
    <row r="2815" ht="25" customHeight="1" spans="1:8">
      <c r="A2815" s="6">
        <v>2813</v>
      </c>
      <c r="B2815" s="7" t="str">
        <f t="shared" si="678"/>
        <v>204</v>
      </c>
      <c r="C2815" s="7" t="s">
        <v>2326</v>
      </c>
      <c r="D2815" s="7" t="s">
        <v>2306</v>
      </c>
      <c r="E2815" s="7" t="str">
        <f>"黄建"</f>
        <v>黄建</v>
      </c>
      <c r="F2815" s="7" t="str">
        <f>"男"</f>
        <v>男</v>
      </c>
      <c r="G2815" s="7" t="s">
        <v>2333</v>
      </c>
      <c r="H2815" s="8"/>
    </row>
    <row r="2816" ht="25" customHeight="1" spans="1:8">
      <c r="A2816" s="6">
        <v>2814</v>
      </c>
      <c r="B2816" s="7" t="str">
        <f t="shared" si="678"/>
        <v>204</v>
      </c>
      <c r="C2816" s="7" t="s">
        <v>2326</v>
      </c>
      <c r="D2816" s="7" t="s">
        <v>2306</v>
      </c>
      <c r="E2816" s="7" t="str">
        <f>"万绪晶"</f>
        <v>万绪晶</v>
      </c>
      <c r="F2816" s="7" t="str">
        <f t="shared" ref="F2816:F2826" si="680">"女"</f>
        <v>女</v>
      </c>
      <c r="G2816" s="7" t="s">
        <v>2334</v>
      </c>
      <c r="H2816" s="8"/>
    </row>
    <row r="2817" ht="25" customHeight="1" spans="1:8">
      <c r="A2817" s="6">
        <v>2815</v>
      </c>
      <c r="B2817" s="7" t="str">
        <f t="shared" ref="B2817:B2823" si="681">"205"</f>
        <v>205</v>
      </c>
      <c r="C2817" s="7" t="s">
        <v>2335</v>
      </c>
      <c r="D2817" s="7" t="s">
        <v>2306</v>
      </c>
      <c r="E2817" s="7" t="str">
        <f>"黄佩莹"</f>
        <v>黄佩莹</v>
      </c>
      <c r="F2817" s="7" t="str">
        <f t="shared" si="680"/>
        <v>女</v>
      </c>
      <c r="G2817" s="7" t="s">
        <v>2336</v>
      </c>
      <c r="H2817" s="8"/>
    </row>
    <row r="2818" ht="25" customHeight="1" spans="1:8">
      <c r="A2818" s="6">
        <v>2816</v>
      </c>
      <c r="B2818" s="7" t="str">
        <f t="shared" si="681"/>
        <v>205</v>
      </c>
      <c r="C2818" s="7" t="s">
        <v>2335</v>
      </c>
      <c r="D2818" s="7" t="s">
        <v>2306</v>
      </c>
      <c r="E2818" s="7" t="str">
        <f>"张亚娜"</f>
        <v>张亚娜</v>
      </c>
      <c r="F2818" s="7" t="str">
        <f t="shared" si="680"/>
        <v>女</v>
      </c>
      <c r="G2818" s="7" t="s">
        <v>2337</v>
      </c>
      <c r="H2818" s="8"/>
    </row>
    <row r="2819" ht="25" customHeight="1" spans="1:8">
      <c r="A2819" s="6">
        <v>2817</v>
      </c>
      <c r="B2819" s="7" t="str">
        <f t="shared" si="681"/>
        <v>205</v>
      </c>
      <c r="C2819" s="7" t="s">
        <v>2335</v>
      </c>
      <c r="D2819" s="7" t="s">
        <v>2306</v>
      </c>
      <c r="E2819" s="7" t="str">
        <f>"岑秋萍"</f>
        <v>岑秋萍</v>
      </c>
      <c r="F2819" s="7" t="str">
        <f t="shared" si="680"/>
        <v>女</v>
      </c>
      <c r="G2819" s="7" t="s">
        <v>2338</v>
      </c>
      <c r="H2819" s="8"/>
    </row>
    <row r="2820" ht="25" customHeight="1" spans="1:8">
      <c r="A2820" s="6">
        <v>2818</v>
      </c>
      <c r="B2820" s="7" t="str">
        <f t="shared" si="681"/>
        <v>205</v>
      </c>
      <c r="C2820" s="7" t="s">
        <v>2335</v>
      </c>
      <c r="D2820" s="7" t="s">
        <v>2306</v>
      </c>
      <c r="E2820" s="7" t="str">
        <f>"张冰"</f>
        <v>张冰</v>
      </c>
      <c r="F2820" s="7" t="str">
        <f t="shared" si="680"/>
        <v>女</v>
      </c>
      <c r="G2820" s="7" t="s">
        <v>2339</v>
      </c>
      <c r="H2820" s="8"/>
    </row>
    <row r="2821" ht="25" customHeight="1" spans="1:8">
      <c r="A2821" s="6">
        <v>2819</v>
      </c>
      <c r="B2821" s="7" t="str">
        <f t="shared" si="681"/>
        <v>205</v>
      </c>
      <c r="C2821" s="7" t="s">
        <v>2335</v>
      </c>
      <c r="D2821" s="7" t="s">
        <v>2306</v>
      </c>
      <c r="E2821" s="7" t="str">
        <f>"陈毓茨"</f>
        <v>陈毓茨</v>
      </c>
      <c r="F2821" s="7" t="str">
        <f t="shared" si="680"/>
        <v>女</v>
      </c>
      <c r="G2821" s="7" t="s">
        <v>1970</v>
      </c>
      <c r="H2821" s="8"/>
    </row>
    <row r="2822" ht="25" customHeight="1" spans="1:8">
      <c r="A2822" s="6">
        <v>2820</v>
      </c>
      <c r="B2822" s="7" t="str">
        <f t="shared" si="681"/>
        <v>205</v>
      </c>
      <c r="C2822" s="7" t="s">
        <v>2335</v>
      </c>
      <c r="D2822" s="7" t="s">
        <v>2306</v>
      </c>
      <c r="E2822" s="7" t="str">
        <f>"王雪"</f>
        <v>王雪</v>
      </c>
      <c r="F2822" s="7" t="str">
        <f t="shared" si="680"/>
        <v>女</v>
      </c>
      <c r="G2822" s="7" t="s">
        <v>2340</v>
      </c>
      <c r="H2822" s="8"/>
    </row>
    <row r="2823" ht="25" customHeight="1" spans="1:8">
      <c r="A2823" s="6">
        <v>2821</v>
      </c>
      <c r="B2823" s="7" t="str">
        <f t="shared" si="681"/>
        <v>205</v>
      </c>
      <c r="C2823" s="7" t="s">
        <v>2335</v>
      </c>
      <c r="D2823" s="7" t="s">
        <v>2306</v>
      </c>
      <c r="E2823" s="7" t="str">
        <f>"罗春凉"</f>
        <v>罗春凉</v>
      </c>
      <c r="F2823" s="7" t="str">
        <f t="shared" si="680"/>
        <v>女</v>
      </c>
      <c r="G2823" s="7" t="s">
        <v>340</v>
      </c>
      <c r="H2823" s="8"/>
    </row>
    <row r="2824" ht="25" customHeight="1" spans="1:8">
      <c r="A2824" s="6">
        <v>2822</v>
      </c>
      <c r="B2824" s="7" t="str">
        <f t="shared" ref="B2824:B2841" si="682">"206"</f>
        <v>206</v>
      </c>
      <c r="C2824" s="7" t="s">
        <v>2341</v>
      </c>
      <c r="D2824" s="7" t="s">
        <v>2306</v>
      </c>
      <c r="E2824" s="7" t="str">
        <f>"姚春妙"</f>
        <v>姚春妙</v>
      </c>
      <c r="F2824" s="7" t="str">
        <f t="shared" si="680"/>
        <v>女</v>
      </c>
      <c r="G2824" s="7" t="s">
        <v>654</v>
      </c>
      <c r="H2824" s="8"/>
    </row>
    <row r="2825" ht="25" customHeight="1" spans="1:8">
      <c r="A2825" s="6">
        <v>2823</v>
      </c>
      <c r="B2825" s="7" t="str">
        <f t="shared" si="682"/>
        <v>206</v>
      </c>
      <c r="C2825" s="7" t="s">
        <v>2341</v>
      </c>
      <c r="D2825" s="7" t="s">
        <v>2306</v>
      </c>
      <c r="E2825" s="7" t="str">
        <f>"邢丽姣"</f>
        <v>邢丽姣</v>
      </c>
      <c r="F2825" s="7" t="str">
        <f t="shared" si="680"/>
        <v>女</v>
      </c>
      <c r="G2825" s="7" t="s">
        <v>2342</v>
      </c>
      <c r="H2825" s="8"/>
    </row>
    <row r="2826" ht="25" customHeight="1" spans="1:8">
      <c r="A2826" s="6">
        <v>2824</v>
      </c>
      <c r="B2826" s="7" t="str">
        <f t="shared" si="682"/>
        <v>206</v>
      </c>
      <c r="C2826" s="7" t="s">
        <v>2341</v>
      </c>
      <c r="D2826" s="7" t="s">
        <v>2306</v>
      </c>
      <c r="E2826" s="7" t="str">
        <f>"陈宝桦"</f>
        <v>陈宝桦</v>
      </c>
      <c r="F2826" s="7" t="str">
        <f t="shared" si="680"/>
        <v>女</v>
      </c>
      <c r="G2826" s="7" t="s">
        <v>2343</v>
      </c>
      <c r="H2826" s="8"/>
    </row>
    <row r="2827" ht="25" customHeight="1" spans="1:8">
      <c r="A2827" s="6">
        <v>2825</v>
      </c>
      <c r="B2827" s="7" t="str">
        <f t="shared" si="682"/>
        <v>206</v>
      </c>
      <c r="C2827" s="7" t="s">
        <v>2341</v>
      </c>
      <c r="D2827" s="7" t="s">
        <v>2306</v>
      </c>
      <c r="E2827" s="7" t="str">
        <f>"符仁鹏"</f>
        <v>符仁鹏</v>
      </c>
      <c r="F2827" s="7" t="str">
        <f>"男"</f>
        <v>男</v>
      </c>
      <c r="G2827" s="7" t="s">
        <v>897</v>
      </c>
      <c r="H2827" s="8"/>
    </row>
    <row r="2828" ht="25" customHeight="1" spans="1:8">
      <c r="A2828" s="6">
        <v>2826</v>
      </c>
      <c r="B2828" s="7" t="str">
        <f t="shared" si="682"/>
        <v>206</v>
      </c>
      <c r="C2828" s="7" t="s">
        <v>2341</v>
      </c>
      <c r="D2828" s="7" t="s">
        <v>2306</v>
      </c>
      <c r="E2828" s="7" t="str">
        <f>"唐晓"</f>
        <v>唐晓</v>
      </c>
      <c r="F2828" s="7" t="str">
        <f t="shared" ref="F2828:F2835" si="683">"女"</f>
        <v>女</v>
      </c>
      <c r="G2828" s="7" t="s">
        <v>673</v>
      </c>
      <c r="H2828" s="8"/>
    </row>
    <row r="2829" ht="25" customHeight="1" spans="1:8">
      <c r="A2829" s="6">
        <v>2827</v>
      </c>
      <c r="B2829" s="7" t="str">
        <f t="shared" si="682"/>
        <v>206</v>
      </c>
      <c r="C2829" s="7" t="s">
        <v>2341</v>
      </c>
      <c r="D2829" s="7" t="s">
        <v>2306</v>
      </c>
      <c r="E2829" s="7" t="str">
        <f>"吴周少"</f>
        <v>吴周少</v>
      </c>
      <c r="F2829" s="7" t="str">
        <f t="shared" si="683"/>
        <v>女</v>
      </c>
      <c r="G2829" s="7" t="s">
        <v>1170</v>
      </c>
      <c r="H2829" s="8"/>
    </row>
    <row r="2830" ht="25" customHeight="1" spans="1:8">
      <c r="A2830" s="6">
        <v>2828</v>
      </c>
      <c r="B2830" s="7" t="str">
        <f t="shared" si="682"/>
        <v>206</v>
      </c>
      <c r="C2830" s="7" t="s">
        <v>2341</v>
      </c>
      <c r="D2830" s="7" t="s">
        <v>2306</v>
      </c>
      <c r="E2830" s="7" t="str">
        <f>"吴南"</f>
        <v>吴南</v>
      </c>
      <c r="F2830" s="7" t="str">
        <f t="shared" si="683"/>
        <v>女</v>
      </c>
      <c r="G2830" s="7" t="s">
        <v>2344</v>
      </c>
      <c r="H2830" s="8"/>
    </row>
    <row r="2831" ht="25" customHeight="1" spans="1:8">
      <c r="A2831" s="6">
        <v>2829</v>
      </c>
      <c r="B2831" s="7" t="str">
        <f t="shared" si="682"/>
        <v>206</v>
      </c>
      <c r="C2831" s="7" t="s">
        <v>2341</v>
      </c>
      <c r="D2831" s="7" t="s">
        <v>2306</v>
      </c>
      <c r="E2831" s="7" t="str">
        <f>"陈金雪"</f>
        <v>陈金雪</v>
      </c>
      <c r="F2831" s="7" t="str">
        <f t="shared" si="683"/>
        <v>女</v>
      </c>
      <c r="G2831" s="7" t="s">
        <v>2345</v>
      </c>
      <c r="H2831" s="8"/>
    </row>
    <row r="2832" ht="25" customHeight="1" spans="1:8">
      <c r="A2832" s="6">
        <v>2830</v>
      </c>
      <c r="B2832" s="7" t="str">
        <f t="shared" si="682"/>
        <v>206</v>
      </c>
      <c r="C2832" s="7" t="s">
        <v>2341</v>
      </c>
      <c r="D2832" s="7" t="s">
        <v>2306</v>
      </c>
      <c r="E2832" s="7" t="str">
        <f>"王雄丽"</f>
        <v>王雄丽</v>
      </c>
      <c r="F2832" s="7" t="str">
        <f t="shared" si="683"/>
        <v>女</v>
      </c>
      <c r="G2832" s="7" t="s">
        <v>2346</v>
      </c>
      <c r="H2832" s="8"/>
    </row>
    <row r="2833" ht="25" customHeight="1" spans="1:8">
      <c r="A2833" s="6">
        <v>2831</v>
      </c>
      <c r="B2833" s="7" t="str">
        <f t="shared" si="682"/>
        <v>206</v>
      </c>
      <c r="C2833" s="7" t="s">
        <v>2341</v>
      </c>
      <c r="D2833" s="7" t="s">
        <v>2306</v>
      </c>
      <c r="E2833" s="7" t="str">
        <f>"章洁"</f>
        <v>章洁</v>
      </c>
      <c r="F2833" s="7" t="str">
        <f t="shared" si="683"/>
        <v>女</v>
      </c>
      <c r="G2833" s="7" t="s">
        <v>2347</v>
      </c>
      <c r="H2833" s="8"/>
    </row>
    <row r="2834" ht="25" customHeight="1" spans="1:8">
      <c r="A2834" s="6">
        <v>2832</v>
      </c>
      <c r="B2834" s="7" t="str">
        <f t="shared" si="682"/>
        <v>206</v>
      </c>
      <c r="C2834" s="7" t="s">
        <v>2341</v>
      </c>
      <c r="D2834" s="7" t="s">
        <v>2306</v>
      </c>
      <c r="E2834" s="7" t="str">
        <f>"符连于"</f>
        <v>符连于</v>
      </c>
      <c r="F2834" s="7" t="str">
        <f t="shared" si="683"/>
        <v>女</v>
      </c>
      <c r="G2834" s="7" t="s">
        <v>2348</v>
      </c>
      <c r="H2834" s="8"/>
    </row>
    <row r="2835" ht="25" customHeight="1" spans="1:8">
      <c r="A2835" s="6">
        <v>2833</v>
      </c>
      <c r="B2835" s="7" t="str">
        <f t="shared" si="682"/>
        <v>206</v>
      </c>
      <c r="C2835" s="7" t="s">
        <v>2341</v>
      </c>
      <c r="D2835" s="7" t="s">
        <v>2306</v>
      </c>
      <c r="E2835" s="7" t="str">
        <f>"周立欣"</f>
        <v>周立欣</v>
      </c>
      <c r="F2835" s="7" t="str">
        <f t="shared" si="683"/>
        <v>女</v>
      </c>
      <c r="G2835" s="7" t="s">
        <v>2349</v>
      </c>
      <c r="H2835" s="8"/>
    </row>
    <row r="2836" ht="25" customHeight="1" spans="1:8">
      <c r="A2836" s="6">
        <v>2834</v>
      </c>
      <c r="B2836" s="7" t="str">
        <f t="shared" si="682"/>
        <v>206</v>
      </c>
      <c r="C2836" s="7" t="s">
        <v>2341</v>
      </c>
      <c r="D2836" s="7" t="s">
        <v>2306</v>
      </c>
      <c r="E2836" s="7" t="str">
        <f>"罗盛通"</f>
        <v>罗盛通</v>
      </c>
      <c r="F2836" s="7" t="str">
        <f>"男"</f>
        <v>男</v>
      </c>
      <c r="G2836" s="7" t="s">
        <v>2350</v>
      </c>
      <c r="H2836" s="8"/>
    </row>
    <row r="2837" ht="25" customHeight="1" spans="1:8">
      <c r="A2837" s="6">
        <v>2835</v>
      </c>
      <c r="B2837" s="7" t="str">
        <f t="shared" si="682"/>
        <v>206</v>
      </c>
      <c r="C2837" s="7" t="s">
        <v>2341</v>
      </c>
      <c r="D2837" s="7" t="s">
        <v>2306</v>
      </c>
      <c r="E2837" s="7" t="str">
        <f>"李秋月"</f>
        <v>李秋月</v>
      </c>
      <c r="F2837" s="7" t="str">
        <f t="shared" ref="F2837:F2839" si="684">"女"</f>
        <v>女</v>
      </c>
      <c r="G2837" s="7" t="s">
        <v>854</v>
      </c>
      <c r="H2837" s="8"/>
    </row>
    <row r="2838" ht="25" customHeight="1" spans="1:8">
      <c r="A2838" s="6">
        <v>2836</v>
      </c>
      <c r="B2838" s="7" t="str">
        <f t="shared" si="682"/>
        <v>206</v>
      </c>
      <c r="C2838" s="7" t="s">
        <v>2341</v>
      </c>
      <c r="D2838" s="7" t="s">
        <v>2306</v>
      </c>
      <c r="E2838" s="7" t="str">
        <f>"李天爱"</f>
        <v>李天爱</v>
      </c>
      <c r="F2838" s="7" t="str">
        <f t="shared" si="684"/>
        <v>女</v>
      </c>
      <c r="G2838" s="7" t="s">
        <v>2351</v>
      </c>
      <c r="H2838" s="8"/>
    </row>
    <row r="2839" ht="25" customHeight="1" spans="1:8">
      <c r="A2839" s="6">
        <v>2837</v>
      </c>
      <c r="B2839" s="7" t="str">
        <f t="shared" si="682"/>
        <v>206</v>
      </c>
      <c r="C2839" s="7" t="s">
        <v>2341</v>
      </c>
      <c r="D2839" s="7" t="s">
        <v>2306</v>
      </c>
      <c r="E2839" s="7" t="str">
        <f>"邢雯婷"</f>
        <v>邢雯婷</v>
      </c>
      <c r="F2839" s="7" t="str">
        <f t="shared" si="684"/>
        <v>女</v>
      </c>
      <c r="G2839" s="7" t="s">
        <v>2352</v>
      </c>
      <c r="H2839" s="8"/>
    </row>
    <row r="2840" ht="25" customHeight="1" spans="1:8">
      <c r="A2840" s="6">
        <v>2838</v>
      </c>
      <c r="B2840" s="7" t="str">
        <f t="shared" si="682"/>
        <v>206</v>
      </c>
      <c r="C2840" s="7" t="s">
        <v>2341</v>
      </c>
      <c r="D2840" s="7" t="s">
        <v>2306</v>
      </c>
      <c r="E2840" s="7" t="str">
        <f>"翁时岛"</f>
        <v>翁时岛</v>
      </c>
      <c r="F2840" s="7" t="str">
        <f>"男"</f>
        <v>男</v>
      </c>
      <c r="G2840" s="7" t="s">
        <v>919</v>
      </c>
      <c r="H2840" s="8"/>
    </row>
    <row r="2841" ht="25" customHeight="1" spans="1:8">
      <c r="A2841" s="6">
        <v>2839</v>
      </c>
      <c r="B2841" s="7" t="str">
        <f t="shared" si="682"/>
        <v>206</v>
      </c>
      <c r="C2841" s="7" t="s">
        <v>2341</v>
      </c>
      <c r="D2841" s="7" t="s">
        <v>2306</v>
      </c>
      <c r="E2841" s="7" t="str">
        <f>"林柳红"</f>
        <v>林柳红</v>
      </c>
      <c r="F2841" s="7" t="str">
        <f t="shared" ref="F2841:F2854" si="685">"女"</f>
        <v>女</v>
      </c>
      <c r="G2841" s="7" t="s">
        <v>2353</v>
      </c>
      <c r="H2841" s="8"/>
    </row>
    <row r="2842" ht="25" customHeight="1" spans="1:8">
      <c r="A2842" s="6">
        <v>2840</v>
      </c>
      <c r="B2842" s="7" t="str">
        <f t="shared" ref="B2842:B2849" si="686">"208"</f>
        <v>208</v>
      </c>
      <c r="C2842" s="7" t="s">
        <v>2354</v>
      </c>
      <c r="D2842" s="7" t="s">
        <v>2306</v>
      </c>
      <c r="E2842" s="7" t="str">
        <f>"屈政"</f>
        <v>屈政</v>
      </c>
      <c r="F2842" s="7" t="str">
        <f t="shared" si="685"/>
        <v>女</v>
      </c>
      <c r="G2842" s="7" t="s">
        <v>2355</v>
      </c>
      <c r="H2842" s="8"/>
    </row>
    <row r="2843" ht="25" customHeight="1" spans="1:8">
      <c r="A2843" s="6">
        <v>2841</v>
      </c>
      <c r="B2843" s="7" t="str">
        <f t="shared" si="686"/>
        <v>208</v>
      </c>
      <c r="C2843" s="7" t="s">
        <v>2354</v>
      </c>
      <c r="D2843" s="7" t="s">
        <v>2306</v>
      </c>
      <c r="E2843" s="7" t="str">
        <f>"符雅雲"</f>
        <v>符雅雲</v>
      </c>
      <c r="F2843" s="7" t="str">
        <f t="shared" si="685"/>
        <v>女</v>
      </c>
      <c r="G2843" s="7" t="s">
        <v>449</v>
      </c>
      <c r="H2843" s="8"/>
    </row>
    <row r="2844" ht="25" customHeight="1" spans="1:8">
      <c r="A2844" s="6">
        <v>2842</v>
      </c>
      <c r="B2844" s="7" t="str">
        <f t="shared" si="686"/>
        <v>208</v>
      </c>
      <c r="C2844" s="7" t="s">
        <v>2354</v>
      </c>
      <c r="D2844" s="7" t="s">
        <v>2306</v>
      </c>
      <c r="E2844" s="7" t="str">
        <f>"何丽华"</f>
        <v>何丽华</v>
      </c>
      <c r="F2844" s="7" t="str">
        <f t="shared" si="685"/>
        <v>女</v>
      </c>
      <c r="G2844" s="7" t="s">
        <v>2356</v>
      </c>
      <c r="H2844" s="8"/>
    </row>
    <row r="2845" ht="25" customHeight="1" spans="1:8">
      <c r="A2845" s="6">
        <v>2843</v>
      </c>
      <c r="B2845" s="7" t="str">
        <f t="shared" si="686"/>
        <v>208</v>
      </c>
      <c r="C2845" s="7" t="s">
        <v>2354</v>
      </c>
      <c r="D2845" s="7" t="s">
        <v>2306</v>
      </c>
      <c r="E2845" s="7" t="str">
        <f>"林丽燕"</f>
        <v>林丽燕</v>
      </c>
      <c r="F2845" s="7" t="str">
        <f t="shared" si="685"/>
        <v>女</v>
      </c>
      <c r="G2845" s="7" t="s">
        <v>2357</v>
      </c>
      <c r="H2845" s="8"/>
    </row>
    <row r="2846" ht="25" customHeight="1" spans="1:8">
      <c r="A2846" s="6">
        <v>2844</v>
      </c>
      <c r="B2846" s="7" t="str">
        <f t="shared" si="686"/>
        <v>208</v>
      </c>
      <c r="C2846" s="7" t="s">
        <v>2354</v>
      </c>
      <c r="D2846" s="7" t="s">
        <v>2306</v>
      </c>
      <c r="E2846" s="7" t="str">
        <f>"王娜"</f>
        <v>王娜</v>
      </c>
      <c r="F2846" s="7" t="str">
        <f t="shared" si="685"/>
        <v>女</v>
      </c>
      <c r="G2846" s="7" t="s">
        <v>2358</v>
      </c>
      <c r="H2846" s="8"/>
    </row>
    <row r="2847" ht="25" customHeight="1" spans="1:8">
      <c r="A2847" s="6">
        <v>2845</v>
      </c>
      <c r="B2847" s="7" t="str">
        <f t="shared" si="686"/>
        <v>208</v>
      </c>
      <c r="C2847" s="7" t="s">
        <v>2354</v>
      </c>
      <c r="D2847" s="7" t="s">
        <v>2306</v>
      </c>
      <c r="E2847" s="7" t="str">
        <f>"林容"</f>
        <v>林容</v>
      </c>
      <c r="F2847" s="7" t="str">
        <f t="shared" si="685"/>
        <v>女</v>
      </c>
      <c r="G2847" s="7" t="s">
        <v>801</v>
      </c>
      <c r="H2847" s="8"/>
    </row>
    <row r="2848" ht="25" customHeight="1" spans="1:8">
      <c r="A2848" s="6">
        <v>2846</v>
      </c>
      <c r="B2848" s="7" t="str">
        <f t="shared" si="686"/>
        <v>208</v>
      </c>
      <c r="C2848" s="7" t="s">
        <v>2354</v>
      </c>
      <c r="D2848" s="7" t="s">
        <v>2306</v>
      </c>
      <c r="E2848" s="7" t="str">
        <f>"符娇莹"</f>
        <v>符娇莹</v>
      </c>
      <c r="F2848" s="7" t="str">
        <f t="shared" si="685"/>
        <v>女</v>
      </c>
      <c r="G2848" s="7" t="s">
        <v>2359</v>
      </c>
      <c r="H2848" s="8"/>
    </row>
    <row r="2849" ht="25" customHeight="1" spans="1:8">
      <c r="A2849" s="6">
        <v>2847</v>
      </c>
      <c r="B2849" s="7" t="str">
        <f t="shared" si="686"/>
        <v>208</v>
      </c>
      <c r="C2849" s="7" t="s">
        <v>2354</v>
      </c>
      <c r="D2849" s="7" t="s">
        <v>2306</v>
      </c>
      <c r="E2849" s="7" t="str">
        <f>"蓝颜"</f>
        <v>蓝颜</v>
      </c>
      <c r="F2849" s="7" t="str">
        <f t="shared" si="685"/>
        <v>女</v>
      </c>
      <c r="G2849" s="7" t="s">
        <v>2360</v>
      </c>
      <c r="H2849" s="8"/>
    </row>
    <row r="2850" ht="25" customHeight="1" spans="1:8">
      <c r="A2850" s="6">
        <v>2848</v>
      </c>
      <c r="B2850" s="7" t="str">
        <f t="shared" ref="B2850:B2893" si="687">"209"</f>
        <v>209</v>
      </c>
      <c r="C2850" s="7" t="s">
        <v>2361</v>
      </c>
      <c r="D2850" s="7" t="s">
        <v>2306</v>
      </c>
      <c r="E2850" s="7" t="str">
        <f>"曹靓"</f>
        <v>曹靓</v>
      </c>
      <c r="F2850" s="7" t="str">
        <f t="shared" si="685"/>
        <v>女</v>
      </c>
      <c r="G2850" s="7" t="s">
        <v>2362</v>
      </c>
      <c r="H2850" s="8"/>
    </row>
    <row r="2851" ht="25" customHeight="1" spans="1:8">
      <c r="A2851" s="6">
        <v>2849</v>
      </c>
      <c r="B2851" s="7" t="str">
        <f t="shared" si="687"/>
        <v>209</v>
      </c>
      <c r="C2851" s="7" t="s">
        <v>2361</v>
      </c>
      <c r="D2851" s="7" t="s">
        <v>2306</v>
      </c>
      <c r="E2851" s="7" t="str">
        <f>"钟华盈"</f>
        <v>钟华盈</v>
      </c>
      <c r="F2851" s="7" t="str">
        <f t="shared" si="685"/>
        <v>女</v>
      </c>
      <c r="G2851" s="7" t="s">
        <v>2363</v>
      </c>
      <c r="H2851" s="8"/>
    </row>
    <row r="2852" ht="25" customHeight="1" spans="1:8">
      <c r="A2852" s="6">
        <v>2850</v>
      </c>
      <c r="B2852" s="7" t="str">
        <f t="shared" si="687"/>
        <v>209</v>
      </c>
      <c r="C2852" s="7" t="s">
        <v>2361</v>
      </c>
      <c r="D2852" s="7" t="s">
        <v>2306</v>
      </c>
      <c r="E2852" s="7" t="str">
        <f>"李莎"</f>
        <v>李莎</v>
      </c>
      <c r="F2852" s="7" t="str">
        <f t="shared" si="685"/>
        <v>女</v>
      </c>
      <c r="G2852" s="7" t="s">
        <v>2364</v>
      </c>
      <c r="H2852" s="8"/>
    </row>
    <row r="2853" ht="25" customHeight="1" spans="1:8">
      <c r="A2853" s="6">
        <v>2851</v>
      </c>
      <c r="B2853" s="7" t="str">
        <f t="shared" si="687"/>
        <v>209</v>
      </c>
      <c r="C2853" s="7" t="s">
        <v>2361</v>
      </c>
      <c r="D2853" s="7" t="s">
        <v>2306</v>
      </c>
      <c r="E2853" s="7" t="str">
        <f>"祁秦真"</f>
        <v>祁秦真</v>
      </c>
      <c r="F2853" s="7" t="str">
        <f t="shared" si="685"/>
        <v>女</v>
      </c>
      <c r="G2853" s="7" t="s">
        <v>2365</v>
      </c>
      <c r="H2853" s="8"/>
    </row>
    <row r="2854" ht="25" customHeight="1" spans="1:8">
      <c r="A2854" s="6">
        <v>2852</v>
      </c>
      <c r="B2854" s="7" t="str">
        <f t="shared" si="687"/>
        <v>209</v>
      </c>
      <c r="C2854" s="7" t="s">
        <v>2361</v>
      </c>
      <c r="D2854" s="7" t="s">
        <v>2306</v>
      </c>
      <c r="E2854" s="7" t="str">
        <f>"朱秀英"</f>
        <v>朱秀英</v>
      </c>
      <c r="F2854" s="7" t="str">
        <f t="shared" si="685"/>
        <v>女</v>
      </c>
      <c r="G2854" s="7" t="s">
        <v>833</v>
      </c>
      <c r="H2854" s="8"/>
    </row>
    <row r="2855" ht="25" customHeight="1" spans="1:8">
      <c r="A2855" s="6">
        <v>2853</v>
      </c>
      <c r="B2855" s="7" t="str">
        <f t="shared" si="687"/>
        <v>209</v>
      </c>
      <c r="C2855" s="7" t="s">
        <v>2361</v>
      </c>
      <c r="D2855" s="7" t="s">
        <v>2306</v>
      </c>
      <c r="E2855" s="7" t="str">
        <f>"罗俊"</f>
        <v>罗俊</v>
      </c>
      <c r="F2855" s="7" t="str">
        <f>"男"</f>
        <v>男</v>
      </c>
      <c r="G2855" s="7" t="s">
        <v>2366</v>
      </c>
      <c r="H2855" s="8"/>
    </row>
    <row r="2856" ht="25" customHeight="1" spans="1:8">
      <c r="A2856" s="6">
        <v>2854</v>
      </c>
      <c r="B2856" s="7" t="str">
        <f t="shared" si="687"/>
        <v>209</v>
      </c>
      <c r="C2856" s="7" t="s">
        <v>2361</v>
      </c>
      <c r="D2856" s="7" t="s">
        <v>2306</v>
      </c>
      <c r="E2856" s="7" t="str">
        <f>"唐紫娴"</f>
        <v>唐紫娴</v>
      </c>
      <c r="F2856" s="7" t="str">
        <f t="shared" ref="F2856:F2869" si="688">"女"</f>
        <v>女</v>
      </c>
      <c r="G2856" s="7" t="s">
        <v>2367</v>
      </c>
      <c r="H2856" s="8"/>
    </row>
    <row r="2857" ht="25" customHeight="1" spans="1:8">
      <c r="A2857" s="6">
        <v>2855</v>
      </c>
      <c r="B2857" s="7" t="str">
        <f t="shared" si="687"/>
        <v>209</v>
      </c>
      <c r="C2857" s="7" t="s">
        <v>2361</v>
      </c>
      <c r="D2857" s="7" t="s">
        <v>2306</v>
      </c>
      <c r="E2857" s="7" t="str">
        <f>"王霄紫"</f>
        <v>王霄紫</v>
      </c>
      <c r="F2857" s="7" t="str">
        <f t="shared" si="688"/>
        <v>女</v>
      </c>
      <c r="G2857" s="7" t="s">
        <v>2368</v>
      </c>
      <c r="H2857" s="8"/>
    </row>
    <row r="2858" ht="25" customHeight="1" spans="1:8">
      <c r="A2858" s="6">
        <v>2856</v>
      </c>
      <c r="B2858" s="7" t="str">
        <f t="shared" si="687"/>
        <v>209</v>
      </c>
      <c r="C2858" s="7" t="s">
        <v>2361</v>
      </c>
      <c r="D2858" s="7" t="s">
        <v>2306</v>
      </c>
      <c r="E2858" s="7" t="str">
        <f>"胡敖日格乐"</f>
        <v>胡敖日格乐</v>
      </c>
      <c r="F2858" s="7" t="str">
        <f t="shared" si="688"/>
        <v>女</v>
      </c>
      <c r="G2858" s="7" t="s">
        <v>2369</v>
      </c>
      <c r="H2858" s="8"/>
    </row>
    <row r="2859" ht="25" customHeight="1" spans="1:8">
      <c r="A2859" s="6">
        <v>2857</v>
      </c>
      <c r="B2859" s="7" t="str">
        <f t="shared" si="687"/>
        <v>209</v>
      </c>
      <c r="C2859" s="7" t="s">
        <v>2361</v>
      </c>
      <c r="D2859" s="7" t="s">
        <v>2306</v>
      </c>
      <c r="E2859" s="7" t="str">
        <f>"黎秀妃"</f>
        <v>黎秀妃</v>
      </c>
      <c r="F2859" s="7" t="str">
        <f t="shared" si="688"/>
        <v>女</v>
      </c>
      <c r="G2859" s="7" t="s">
        <v>2358</v>
      </c>
      <c r="H2859" s="8"/>
    </row>
    <row r="2860" ht="25" customHeight="1" spans="1:8">
      <c r="A2860" s="6">
        <v>2858</v>
      </c>
      <c r="B2860" s="7" t="str">
        <f t="shared" si="687"/>
        <v>209</v>
      </c>
      <c r="C2860" s="7" t="s">
        <v>2361</v>
      </c>
      <c r="D2860" s="7" t="s">
        <v>2306</v>
      </c>
      <c r="E2860" s="7" t="str">
        <f>"王钰玲"</f>
        <v>王钰玲</v>
      </c>
      <c r="F2860" s="7" t="str">
        <f t="shared" si="688"/>
        <v>女</v>
      </c>
      <c r="G2860" s="7" t="s">
        <v>684</v>
      </c>
      <c r="H2860" s="8"/>
    </row>
    <row r="2861" ht="25" customHeight="1" spans="1:8">
      <c r="A2861" s="6">
        <v>2859</v>
      </c>
      <c r="B2861" s="7" t="str">
        <f t="shared" si="687"/>
        <v>209</v>
      </c>
      <c r="C2861" s="7" t="s">
        <v>2361</v>
      </c>
      <c r="D2861" s="7" t="s">
        <v>2306</v>
      </c>
      <c r="E2861" s="7" t="str">
        <f>"曾乾琳"</f>
        <v>曾乾琳</v>
      </c>
      <c r="F2861" s="7" t="str">
        <f t="shared" si="688"/>
        <v>女</v>
      </c>
      <c r="G2861" s="7" t="s">
        <v>477</v>
      </c>
      <c r="H2861" s="8"/>
    </row>
    <row r="2862" ht="25" customHeight="1" spans="1:8">
      <c r="A2862" s="6">
        <v>2860</v>
      </c>
      <c r="B2862" s="7" t="str">
        <f t="shared" si="687"/>
        <v>209</v>
      </c>
      <c r="C2862" s="7" t="s">
        <v>2361</v>
      </c>
      <c r="D2862" s="7" t="s">
        <v>2306</v>
      </c>
      <c r="E2862" s="7" t="str">
        <f>"谢芳芳"</f>
        <v>谢芳芳</v>
      </c>
      <c r="F2862" s="7" t="str">
        <f t="shared" si="688"/>
        <v>女</v>
      </c>
      <c r="G2862" s="7" t="s">
        <v>2370</v>
      </c>
      <c r="H2862" s="8"/>
    </row>
    <row r="2863" ht="25" customHeight="1" spans="1:8">
      <c r="A2863" s="6">
        <v>2861</v>
      </c>
      <c r="B2863" s="7" t="str">
        <f t="shared" si="687"/>
        <v>209</v>
      </c>
      <c r="C2863" s="7" t="s">
        <v>2361</v>
      </c>
      <c r="D2863" s="7" t="s">
        <v>2306</v>
      </c>
      <c r="E2863" s="7" t="str">
        <f>"羊维妹"</f>
        <v>羊维妹</v>
      </c>
      <c r="F2863" s="7" t="str">
        <f t="shared" si="688"/>
        <v>女</v>
      </c>
      <c r="G2863" s="7" t="s">
        <v>2371</v>
      </c>
      <c r="H2863" s="8"/>
    </row>
    <row r="2864" ht="25" customHeight="1" spans="1:8">
      <c r="A2864" s="6">
        <v>2862</v>
      </c>
      <c r="B2864" s="7" t="str">
        <f t="shared" si="687"/>
        <v>209</v>
      </c>
      <c r="C2864" s="7" t="s">
        <v>2361</v>
      </c>
      <c r="D2864" s="7" t="s">
        <v>2306</v>
      </c>
      <c r="E2864" s="7" t="str">
        <f>"王珊珊"</f>
        <v>王珊珊</v>
      </c>
      <c r="F2864" s="7" t="str">
        <f t="shared" si="688"/>
        <v>女</v>
      </c>
      <c r="G2864" s="7" t="s">
        <v>2372</v>
      </c>
      <c r="H2864" s="8"/>
    </row>
    <row r="2865" ht="25" customHeight="1" spans="1:8">
      <c r="A2865" s="6">
        <v>2863</v>
      </c>
      <c r="B2865" s="7" t="str">
        <f t="shared" si="687"/>
        <v>209</v>
      </c>
      <c r="C2865" s="7" t="s">
        <v>2361</v>
      </c>
      <c r="D2865" s="7" t="s">
        <v>2306</v>
      </c>
      <c r="E2865" s="7" t="str">
        <f>"郑学丹"</f>
        <v>郑学丹</v>
      </c>
      <c r="F2865" s="7" t="str">
        <f t="shared" si="688"/>
        <v>女</v>
      </c>
      <c r="G2865" s="7" t="s">
        <v>1369</v>
      </c>
      <c r="H2865" s="8"/>
    </row>
    <row r="2866" ht="25" customHeight="1" spans="1:8">
      <c r="A2866" s="6">
        <v>2864</v>
      </c>
      <c r="B2866" s="7" t="str">
        <f t="shared" si="687"/>
        <v>209</v>
      </c>
      <c r="C2866" s="7" t="s">
        <v>2361</v>
      </c>
      <c r="D2866" s="7" t="s">
        <v>2306</v>
      </c>
      <c r="E2866" s="7" t="str">
        <f>"童惠增"</f>
        <v>童惠增</v>
      </c>
      <c r="F2866" s="7" t="str">
        <f t="shared" si="688"/>
        <v>女</v>
      </c>
      <c r="G2866" s="7" t="s">
        <v>367</v>
      </c>
      <c r="H2866" s="8"/>
    </row>
    <row r="2867" ht="25" customHeight="1" spans="1:8">
      <c r="A2867" s="6">
        <v>2865</v>
      </c>
      <c r="B2867" s="7" t="str">
        <f t="shared" si="687"/>
        <v>209</v>
      </c>
      <c r="C2867" s="7" t="s">
        <v>2361</v>
      </c>
      <c r="D2867" s="7" t="s">
        <v>2306</v>
      </c>
      <c r="E2867" s="7" t="str">
        <f>"李润"</f>
        <v>李润</v>
      </c>
      <c r="F2867" s="7" t="str">
        <f t="shared" si="688"/>
        <v>女</v>
      </c>
      <c r="G2867" s="7" t="s">
        <v>2373</v>
      </c>
      <c r="H2867" s="8"/>
    </row>
    <row r="2868" ht="25" customHeight="1" spans="1:8">
      <c r="A2868" s="6">
        <v>2866</v>
      </c>
      <c r="B2868" s="7" t="str">
        <f t="shared" si="687"/>
        <v>209</v>
      </c>
      <c r="C2868" s="7" t="s">
        <v>2361</v>
      </c>
      <c r="D2868" s="7" t="s">
        <v>2306</v>
      </c>
      <c r="E2868" s="7" t="str">
        <f>"潘美静"</f>
        <v>潘美静</v>
      </c>
      <c r="F2868" s="7" t="str">
        <f t="shared" si="688"/>
        <v>女</v>
      </c>
      <c r="G2868" s="7" t="s">
        <v>2374</v>
      </c>
      <c r="H2868" s="8"/>
    </row>
    <row r="2869" ht="25" customHeight="1" spans="1:8">
      <c r="A2869" s="6">
        <v>2867</v>
      </c>
      <c r="B2869" s="7" t="str">
        <f t="shared" si="687"/>
        <v>209</v>
      </c>
      <c r="C2869" s="7" t="s">
        <v>2361</v>
      </c>
      <c r="D2869" s="7" t="s">
        <v>2306</v>
      </c>
      <c r="E2869" s="7" t="str">
        <f>"黄芮盈"</f>
        <v>黄芮盈</v>
      </c>
      <c r="F2869" s="7" t="str">
        <f t="shared" si="688"/>
        <v>女</v>
      </c>
      <c r="G2869" s="7" t="s">
        <v>502</v>
      </c>
      <c r="H2869" s="8"/>
    </row>
    <row r="2870" ht="25" customHeight="1" spans="1:8">
      <c r="A2870" s="6">
        <v>2868</v>
      </c>
      <c r="B2870" s="7" t="str">
        <f t="shared" si="687"/>
        <v>209</v>
      </c>
      <c r="C2870" s="7" t="s">
        <v>2361</v>
      </c>
      <c r="D2870" s="7" t="s">
        <v>2306</v>
      </c>
      <c r="E2870" s="7" t="str">
        <f>"杨晨"</f>
        <v>杨晨</v>
      </c>
      <c r="F2870" s="7" t="str">
        <f>"男"</f>
        <v>男</v>
      </c>
      <c r="G2870" s="7" t="s">
        <v>2375</v>
      </c>
      <c r="H2870" s="8"/>
    </row>
    <row r="2871" ht="25" customHeight="1" spans="1:8">
      <c r="A2871" s="6">
        <v>2869</v>
      </c>
      <c r="B2871" s="7" t="str">
        <f t="shared" si="687"/>
        <v>209</v>
      </c>
      <c r="C2871" s="7" t="s">
        <v>2361</v>
      </c>
      <c r="D2871" s="7" t="s">
        <v>2306</v>
      </c>
      <c r="E2871" s="7" t="str">
        <f>"冯晓靖"</f>
        <v>冯晓靖</v>
      </c>
      <c r="F2871" s="7" t="str">
        <f t="shared" ref="F2871:F2883" si="689">"女"</f>
        <v>女</v>
      </c>
      <c r="G2871" s="7" t="s">
        <v>940</v>
      </c>
      <c r="H2871" s="8"/>
    </row>
    <row r="2872" ht="25" customHeight="1" spans="1:8">
      <c r="A2872" s="6">
        <v>2870</v>
      </c>
      <c r="B2872" s="7" t="str">
        <f t="shared" si="687"/>
        <v>209</v>
      </c>
      <c r="C2872" s="7" t="s">
        <v>2361</v>
      </c>
      <c r="D2872" s="7" t="s">
        <v>2306</v>
      </c>
      <c r="E2872" s="7" t="str">
        <f>"孙芳睿"</f>
        <v>孙芳睿</v>
      </c>
      <c r="F2872" s="7" t="str">
        <f t="shared" si="689"/>
        <v>女</v>
      </c>
      <c r="G2872" s="7" t="s">
        <v>828</v>
      </c>
      <c r="H2872" s="8"/>
    </row>
    <row r="2873" ht="25" customHeight="1" spans="1:8">
      <c r="A2873" s="6">
        <v>2871</v>
      </c>
      <c r="B2873" s="7" t="str">
        <f t="shared" si="687"/>
        <v>209</v>
      </c>
      <c r="C2873" s="7" t="s">
        <v>2361</v>
      </c>
      <c r="D2873" s="7" t="s">
        <v>2306</v>
      </c>
      <c r="E2873" s="7" t="str">
        <f>"黎霞"</f>
        <v>黎霞</v>
      </c>
      <c r="F2873" s="7" t="str">
        <f t="shared" si="689"/>
        <v>女</v>
      </c>
      <c r="G2873" s="7" t="s">
        <v>2376</v>
      </c>
      <c r="H2873" s="8"/>
    </row>
    <row r="2874" ht="25" customHeight="1" spans="1:8">
      <c r="A2874" s="6">
        <v>2872</v>
      </c>
      <c r="B2874" s="7" t="str">
        <f t="shared" si="687"/>
        <v>209</v>
      </c>
      <c r="C2874" s="7" t="s">
        <v>2361</v>
      </c>
      <c r="D2874" s="7" t="s">
        <v>2306</v>
      </c>
      <c r="E2874" s="7" t="str">
        <f>"肖雅欣"</f>
        <v>肖雅欣</v>
      </c>
      <c r="F2874" s="7" t="str">
        <f t="shared" si="689"/>
        <v>女</v>
      </c>
      <c r="G2874" s="7" t="s">
        <v>2377</v>
      </c>
      <c r="H2874" s="8"/>
    </row>
    <row r="2875" ht="25" customHeight="1" spans="1:8">
      <c r="A2875" s="6">
        <v>2873</v>
      </c>
      <c r="B2875" s="7" t="str">
        <f t="shared" si="687"/>
        <v>209</v>
      </c>
      <c r="C2875" s="7" t="s">
        <v>2361</v>
      </c>
      <c r="D2875" s="7" t="s">
        <v>2306</v>
      </c>
      <c r="E2875" s="7" t="str">
        <f>"钟燕含"</f>
        <v>钟燕含</v>
      </c>
      <c r="F2875" s="7" t="str">
        <f t="shared" si="689"/>
        <v>女</v>
      </c>
      <c r="G2875" s="7" t="s">
        <v>2378</v>
      </c>
      <c r="H2875" s="8"/>
    </row>
    <row r="2876" ht="25" customHeight="1" spans="1:8">
      <c r="A2876" s="6">
        <v>2874</v>
      </c>
      <c r="B2876" s="7" t="str">
        <f t="shared" si="687"/>
        <v>209</v>
      </c>
      <c r="C2876" s="7" t="s">
        <v>2361</v>
      </c>
      <c r="D2876" s="7" t="s">
        <v>2306</v>
      </c>
      <c r="E2876" s="7" t="str">
        <f>"王紫"</f>
        <v>王紫</v>
      </c>
      <c r="F2876" s="7" t="str">
        <f t="shared" si="689"/>
        <v>女</v>
      </c>
      <c r="G2876" s="7" t="s">
        <v>2379</v>
      </c>
      <c r="H2876" s="8"/>
    </row>
    <row r="2877" ht="25" customHeight="1" spans="1:8">
      <c r="A2877" s="6">
        <v>2875</v>
      </c>
      <c r="B2877" s="7" t="str">
        <f t="shared" si="687"/>
        <v>209</v>
      </c>
      <c r="C2877" s="7" t="s">
        <v>2361</v>
      </c>
      <c r="D2877" s="7" t="s">
        <v>2306</v>
      </c>
      <c r="E2877" s="7" t="str">
        <f>"徐楚林"</f>
        <v>徐楚林</v>
      </c>
      <c r="F2877" s="7" t="str">
        <f t="shared" si="689"/>
        <v>女</v>
      </c>
      <c r="G2877" s="7" t="s">
        <v>2380</v>
      </c>
      <c r="H2877" s="8"/>
    </row>
    <row r="2878" ht="25" customHeight="1" spans="1:8">
      <c r="A2878" s="6">
        <v>2876</v>
      </c>
      <c r="B2878" s="7" t="str">
        <f t="shared" si="687"/>
        <v>209</v>
      </c>
      <c r="C2878" s="7" t="s">
        <v>2361</v>
      </c>
      <c r="D2878" s="7" t="s">
        <v>2306</v>
      </c>
      <c r="E2878" s="7" t="str">
        <f>"甫婉茹"</f>
        <v>甫婉茹</v>
      </c>
      <c r="F2878" s="7" t="str">
        <f t="shared" si="689"/>
        <v>女</v>
      </c>
      <c r="G2878" s="7" t="s">
        <v>981</v>
      </c>
      <c r="H2878" s="8"/>
    </row>
    <row r="2879" ht="25" customHeight="1" spans="1:8">
      <c r="A2879" s="6">
        <v>2877</v>
      </c>
      <c r="B2879" s="7" t="str">
        <f t="shared" si="687"/>
        <v>209</v>
      </c>
      <c r="C2879" s="7" t="s">
        <v>2361</v>
      </c>
      <c r="D2879" s="7" t="s">
        <v>2306</v>
      </c>
      <c r="E2879" s="7" t="str">
        <f>"周小钰"</f>
        <v>周小钰</v>
      </c>
      <c r="F2879" s="7" t="str">
        <f t="shared" si="689"/>
        <v>女</v>
      </c>
      <c r="G2879" s="7" t="s">
        <v>2381</v>
      </c>
      <c r="H2879" s="8"/>
    </row>
    <row r="2880" ht="25" customHeight="1" spans="1:8">
      <c r="A2880" s="6">
        <v>2878</v>
      </c>
      <c r="B2880" s="7" t="str">
        <f t="shared" si="687"/>
        <v>209</v>
      </c>
      <c r="C2880" s="7" t="s">
        <v>2361</v>
      </c>
      <c r="D2880" s="7" t="s">
        <v>2306</v>
      </c>
      <c r="E2880" s="7" t="str">
        <f>"汤玉洁"</f>
        <v>汤玉洁</v>
      </c>
      <c r="F2880" s="7" t="str">
        <f t="shared" si="689"/>
        <v>女</v>
      </c>
      <c r="G2880" s="7" t="s">
        <v>2382</v>
      </c>
      <c r="H2880" s="8"/>
    </row>
    <row r="2881" ht="25" customHeight="1" spans="1:8">
      <c r="A2881" s="6">
        <v>2879</v>
      </c>
      <c r="B2881" s="7" t="str">
        <f t="shared" si="687"/>
        <v>209</v>
      </c>
      <c r="C2881" s="7" t="s">
        <v>2361</v>
      </c>
      <c r="D2881" s="7" t="s">
        <v>2306</v>
      </c>
      <c r="E2881" s="7" t="str">
        <f>"刘依帆"</f>
        <v>刘依帆</v>
      </c>
      <c r="F2881" s="7" t="str">
        <f t="shared" si="689"/>
        <v>女</v>
      </c>
      <c r="G2881" s="7" t="s">
        <v>2383</v>
      </c>
      <c r="H2881" s="8"/>
    </row>
    <row r="2882" ht="25" customHeight="1" spans="1:8">
      <c r="A2882" s="6">
        <v>2880</v>
      </c>
      <c r="B2882" s="7" t="str">
        <f t="shared" si="687"/>
        <v>209</v>
      </c>
      <c r="C2882" s="7" t="s">
        <v>2361</v>
      </c>
      <c r="D2882" s="7" t="s">
        <v>2306</v>
      </c>
      <c r="E2882" s="7" t="str">
        <f>"符秀灵"</f>
        <v>符秀灵</v>
      </c>
      <c r="F2882" s="7" t="str">
        <f t="shared" si="689"/>
        <v>女</v>
      </c>
      <c r="G2882" s="7" t="s">
        <v>2384</v>
      </c>
      <c r="H2882" s="8"/>
    </row>
    <row r="2883" ht="25" customHeight="1" spans="1:8">
      <c r="A2883" s="6">
        <v>2881</v>
      </c>
      <c r="B2883" s="7" t="str">
        <f t="shared" si="687"/>
        <v>209</v>
      </c>
      <c r="C2883" s="7" t="s">
        <v>2361</v>
      </c>
      <c r="D2883" s="7" t="s">
        <v>2306</v>
      </c>
      <c r="E2883" s="7" t="str">
        <f>"庄敏婕"</f>
        <v>庄敏婕</v>
      </c>
      <c r="F2883" s="7" t="str">
        <f t="shared" si="689"/>
        <v>女</v>
      </c>
      <c r="G2883" s="7" t="s">
        <v>2385</v>
      </c>
      <c r="H2883" s="8"/>
    </row>
    <row r="2884" ht="25" customHeight="1" spans="1:8">
      <c r="A2884" s="6">
        <v>2882</v>
      </c>
      <c r="B2884" s="7" t="str">
        <f t="shared" si="687"/>
        <v>209</v>
      </c>
      <c r="C2884" s="7" t="s">
        <v>2361</v>
      </c>
      <c r="D2884" s="7" t="s">
        <v>2306</v>
      </c>
      <c r="E2884" s="7" t="str">
        <f>"李璧初"</f>
        <v>李璧初</v>
      </c>
      <c r="F2884" s="7" t="str">
        <f t="shared" ref="F2884:F2888" si="690">"男"</f>
        <v>男</v>
      </c>
      <c r="G2884" s="7" t="s">
        <v>2386</v>
      </c>
      <c r="H2884" s="8"/>
    </row>
    <row r="2885" ht="25" customHeight="1" spans="1:8">
      <c r="A2885" s="6">
        <v>2883</v>
      </c>
      <c r="B2885" s="7" t="str">
        <f t="shared" si="687"/>
        <v>209</v>
      </c>
      <c r="C2885" s="7" t="s">
        <v>2361</v>
      </c>
      <c r="D2885" s="7" t="s">
        <v>2306</v>
      </c>
      <c r="E2885" s="7" t="str">
        <f>"游舒羽"</f>
        <v>游舒羽</v>
      </c>
      <c r="F2885" s="7" t="str">
        <f t="shared" ref="F2885:F2890" si="691">"女"</f>
        <v>女</v>
      </c>
      <c r="G2885" s="7" t="s">
        <v>2387</v>
      </c>
      <c r="H2885" s="8"/>
    </row>
    <row r="2886" ht="25" customHeight="1" spans="1:8">
      <c r="A2886" s="6">
        <v>2884</v>
      </c>
      <c r="B2886" s="7" t="str">
        <f t="shared" si="687"/>
        <v>209</v>
      </c>
      <c r="C2886" s="7" t="s">
        <v>2361</v>
      </c>
      <c r="D2886" s="7" t="s">
        <v>2306</v>
      </c>
      <c r="E2886" s="7" t="str">
        <f>"王轩逸"</f>
        <v>王轩逸</v>
      </c>
      <c r="F2886" s="7" t="str">
        <f t="shared" si="690"/>
        <v>男</v>
      </c>
      <c r="G2886" s="7" t="s">
        <v>2388</v>
      </c>
      <c r="H2886" s="8"/>
    </row>
    <row r="2887" ht="25" customHeight="1" spans="1:8">
      <c r="A2887" s="6">
        <v>2885</v>
      </c>
      <c r="B2887" s="7" t="str">
        <f t="shared" si="687"/>
        <v>209</v>
      </c>
      <c r="C2887" s="7" t="s">
        <v>2361</v>
      </c>
      <c r="D2887" s="7" t="s">
        <v>2306</v>
      </c>
      <c r="E2887" s="7" t="str">
        <f>"宁一杰"</f>
        <v>宁一杰</v>
      </c>
      <c r="F2887" s="7" t="str">
        <f t="shared" si="691"/>
        <v>女</v>
      </c>
      <c r="G2887" s="7" t="s">
        <v>2389</v>
      </c>
      <c r="H2887" s="8"/>
    </row>
    <row r="2888" ht="25" customHeight="1" spans="1:8">
      <c r="A2888" s="6">
        <v>2886</v>
      </c>
      <c r="B2888" s="7" t="str">
        <f t="shared" si="687"/>
        <v>209</v>
      </c>
      <c r="C2888" s="7" t="s">
        <v>2361</v>
      </c>
      <c r="D2888" s="7" t="s">
        <v>2306</v>
      </c>
      <c r="E2888" s="7" t="str">
        <f>"颜新"</f>
        <v>颜新</v>
      </c>
      <c r="F2888" s="7" t="str">
        <f t="shared" si="690"/>
        <v>男</v>
      </c>
      <c r="G2888" s="7" t="s">
        <v>2390</v>
      </c>
      <c r="H2888" s="8"/>
    </row>
    <row r="2889" ht="25" customHeight="1" spans="1:8">
      <c r="A2889" s="6">
        <v>2887</v>
      </c>
      <c r="B2889" s="7" t="str">
        <f t="shared" si="687"/>
        <v>209</v>
      </c>
      <c r="C2889" s="7" t="s">
        <v>2361</v>
      </c>
      <c r="D2889" s="7" t="s">
        <v>2306</v>
      </c>
      <c r="E2889" s="7" t="str">
        <f>"周羽优"</f>
        <v>周羽优</v>
      </c>
      <c r="F2889" s="7" t="str">
        <f t="shared" si="691"/>
        <v>女</v>
      </c>
      <c r="G2889" s="7" t="s">
        <v>2391</v>
      </c>
      <c r="H2889" s="8"/>
    </row>
    <row r="2890" ht="25" customHeight="1" spans="1:8">
      <c r="A2890" s="6">
        <v>2888</v>
      </c>
      <c r="B2890" s="7" t="str">
        <f t="shared" si="687"/>
        <v>209</v>
      </c>
      <c r="C2890" s="7" t="s">
        <v>2361</v>
      </c>
      <c r="D2890" s="7" t="s">
        <v>2306</v>
      </c>
      <c r="E2890" s="7" t="str">
        <f>"欧阳茜"</f>
        <v>欧阳茜</v>
      </c>
      <c r="F2890" s="7" t="str">
        <f t="shared" si="691"/>
        <v>女</v>
      </c>
      <c r="G2890" s="7" t="s">
        <v>2392</v>
      </c>
      <c r="H2890" s="8"/>
    </row>
    <row r="2891" ht="25" customHeight="1" spans="1:8">
      <c r="A2891" s="6">
        <v>2889</v>
      </c>
      <c r="B2891" s="7" t="str">
        <f t="shared" si="687"/>
        <v>209</v>
      </c>
      <c r="C2891" s="7" t="s">
        <v>2361</v>
      </c>
      <c r="D2891" s="7" t="s">
        <v>2306</v>
      </c>
      <c r="E2891" s="7" t="str">
        <f>"孙鉴晨"</f>
        <v>孙鉴晨</v>
      </c>
      <c r="F2891" s="7" t="str">
        <f>"男"</f>
        <v>男</v>
      </c>
      <c r="G2891" s="7" t="s">
        <v>738</v>
      </c>
      <c r="H2891" s="8"/>
    </row>
    <row r="2892" ht="25" customHeight="1" spans="1:8">
      <c r="A2892" s="6">
        <v>2890</v>
      </c>
      <c r="B2892" s="7" t="str">
        <f t="shared" si="687"/>
        <v>209</v>
      </c>
      <c r="C2892" s="7" t="s">
        <v>2361</v>
      </c>
      <c r="D2892" s="7" t="s">
        <v>2306</v>
      </c>
      <c r="E2892" s="7" t="str">
        <f>"罗潇莹"</f>
        <v>罗潇莹</v>
      </c>
      <c r="F2892" s="7" t="str">
        <f t="shared" ref="F2892:F2907" si="692">"女"</f>
        <v>女</v>
      </c>
      <c r="G2892" s="7" t="s">
        <v>2393</v>
      </c>
      <c r="H2892" s="8"/>
    </row>
    <row r="2893" ht="25" customHeight="1" spans="1:8">
      <c r="A2893" s="6">
        <v>2891</v>
      </c>
      <c r="B2893" s="7" t="str">
        <f t="shared" si="687"/>
        <v>209</v>
      </c>
      <c r="C2893" s="7" t="s">
        <v>2361</v>
      </c>
      <c r="D2893" s="7" t="s">
        <v>2306</v>
      </c>
      <c r="E2893" s="7" t="str">
        <f>"陈丽婷"</f>
        <v>陈丽婷</v>
      </c>
      <c r="F2893" s="7" t="str">
        <f t="shared" si="692"/>
        <v>女</v>
      </c>
      <c r="G2893" s="7" t="s">
        <v>2394</v>
      </c>
      <c r="H2893" s="8"/>
    </row>
    <row r="2894" ht="25" customHeight="1" spans="1:8">
      <c r="A2894" s="6">
        <v>2892</v>
      </c>
      <c r="B2894" s="7" t="str">
        <f t="shared" ref="B2894:B2923" si="693">"210"</f>
        <v>210</v>
      </c>
      <c r="C2894" s="7" t="s">
        <v>2395</v>
      </c>
      <c r="D2894" s="7" t="s">
        <v>2306</v>
      </c>
      <c r="E2894" s="7" t="str">
        <f>"林应花"</f>
        <v>林应花</v>
      </c>
      <c r="F2894" s="7" t="str">
        <f t="shared" si="692"/>
        <v>女</v>
      </c>
      <c r="G2894" s="7" t="s">
        <v>2396</v>
      </c>
      <c r="H2894" s="8"/>
    </row>
    <row r="2895" ht="25" customHeight="1" spans="1:8">
      <c r="A2895" s="6">
        <v>2893</v>
      </c>
      <c r="B2895" s="7" t="str">
        <f t="shared" si="693"/>
        <v>210</v>
      </c>
      <c r="C2895" s="7" t="s">
        <v>2395</v>
      </c>
      <c r="D2895" s="7" t="s">
        <v>2306</v>
      </c>
      <c r="E2895" s="7" t="str">
        <f>"徐天慧"</f>
        <v>徐天慧</v>
      </c>
      <c r="F2895" s="7" t="str">
        <f t="shared" si="692"/>
        <v>女</v>
      </c>
      <c r="G2895" s="7" t="s">
        <v>2397</v>
      </c>
      <c r="H2895" s="8"/>
    </row>
    <row r="2896" ht="25" customHeight="1" spans="1:8">
      <c r="A2896" s="6">
        <v>2894</v>
      </c>
      <c r="B2896" s="7" t="str">
        <f t="shared" si="693"/>
        <v>210</v>
      </c>
      <c r="C2896" s="7" t="s">
        <v>2395</v>
      </c>
      <c r="D2896" s="7" t="s">
        <v>2306</v>
      </c>
      <c r="E2896" s="7" t="str">
        <f>"黄丽贤"</f>
        <v>黄丽贤</v>
      </c>
      <c r="F2896" s="7" t="str">
        <f t="shared" si="692"/>
        <v>女</v>
      </c>
      <c r="G2896" s="7" t="s">
        <v>2398</v>
      </c>
      <c r="H2896" s="8"/>
    </row>
    <row r="2897" ht="25" customHeight="1" spans="1:8">
      <c r="A2897" s="6">
        <v>2895</v>
      </c>
      <c r="B2897" s="7" t="str">
        <f t="shared" si="693"/>
        <v>210</v>
      </c>
      <c r="C2897" s="7" t="s">
        <v>2395</v>
      </c>
      <c r="D2897" s="7" t="s">
        <v>2306</v>
      </c>
      <c r="E2897" s="7" t="str">
        <f>"李玉来"</f>
        <v>李玉来</v>
      </c>
      <c r="F2897" s="7" t="str">
        <f t="shared" si="692"/>
        <v>女</v>
      </c>
      <c r="G2897" s="7" t="s">
        <v>2399</v>
      </c>
      <c r="H2897" s="8"/>
    </row>
    <row r="2898" ht="25" customHeight="1" spans="1:8">
      <c r="A2898" s="6">
        <v>2896</v>
      </c>
      <c r="B2898" s="7" t="str">
        <f t="shared" si="693"/>
        <v>210</v>
      </c>
      <c r="C2898" s="7" t="s">
        <v>2395</v>
      </c>
      <c r="D2898" s="7" t="s">
        <v>2306</v>
      </c>
      <c r="E2898" s="7" t="str">
        <f>"海莹"</f>
        <v>海莹</v>
      </c>
      <c r="F2898" s="7" t="str">
        <f t="shared" si="692"/>
        <v>女</v>
      </c>
      <c r="G2898" s="7" t="s">
        <v>898</v>
      </c>
      <c r="H2898" s="8"/>
    </row>
    <row r="2899" ht="25" customHeight="1" spans="1:8">
      <c r="A2899" s="6">
        <v>2897</v>
      </c>
      <c r="B2899" s="7" t="str">
        <f t="shared" si="693"/>
        <v>210</v>
      </c>
      <c r="C2899" s="7" t="s">
        <v>2395</v>
      </c>
      <c r="D2899" s="7" t="s">
        <v>2306</v>
      </c>
      <c r="E2899" s="7" t="str">
        <f>"张有姿"</f>
        <v>张有姿</v>
      </c>
      <c r="F2899" s="7" t="str">
        <f t="shared" si="692"/>
        <v>女</v>
      </c>
      <c r="G2899" s="7" t="s">
        <v>1716</v>
      </c>
      <c r="H2899" s="8"/>
    </row>
    <row r="2900" ht="25" customHeight="1" spans="1:8">
      <c r="A2900" s="6">
        <v>2898</v>
      </c>
      <c r="B2900" s="7" t="str">
        <f t="shared" si="693"/>
        <v>210</v>
      </c>
      <c r="C2900" s="7" t="s">
        <v>2395</v>
      </c>
      <c r="D2900" s="7" t="s">
        <v>2306</v>
      </c>
      <c r="E2900" s="7" t="str">
        <f>"符秋怡"</f>
        <v>符秋怡</v>
      </c>
      <c r="F2900" s="7" t="str">
        <f t="shared" si="692"/>
        <v>女</v>
      </c>
      <c r="G2900" s="7" t="s">
        <v>2400</v>
      </c>
      <c r="H2900" s="8"/>
    </row>
    <row r="2901" ht="25" customHeight="1" spans="1:8">
      <c r="A2901" s="6">
        <v>2899</v>
      </c>
      <c r="B2901" s="7" t="str">
        <f t="shared" si="693"/>
        <v>210</v>
      </c>
      <c r="C2901" s="7" t="s">
        <v>2395</v>
      </c>
      <c r="D2901" s="7" t="s">
        <v>2306</v>
      </c>
      <c r="E2901" s="7" t="str">
        <f>"贺志华"</f>
        <v>贺志华</v>
      </c>
      <c r="F2901" s="7" t="str">
        <f t="shared" si="692"/>
        <v>女</v>
      </c>
      <c r="G2901" s="7" t="s">
        <v>2401</v>
      </c>
      <c r="H2901" s="8"/>
    </row>
    <row r="2902" ht="25" customHeight="1" spans="1:8">
      <c r="A2902" s="6">
        <v>2900</v>
      </c>
      <c r="B2902" s="7" t="str">
        <f t="shared" si="693"/>
        <v>210</v>
      </c>
      <c r="C2902" s="7" t="s">
        <v>2395</v>
      </c>
      <c r="D2902" s="7" t="s">
        <v>2306</v>
      </c>
      <c r="E2902" s="7" t="str">
        <f>"陈梦艺"</f>
        <v>陈梦艺</v>
      </c>
      <c r="F2902" s="7" t="str">
        <f t="shared" si="692"/>
        <v>女</v>
      </c>
      <c r="G2902" s="7" t="s">
        <v>2402</v>
      </c>
      <c r="H2902" s="8"/>
    </row>
    <row r="2903" ht="25" customHeight="1" spans="1:8">
      <c r="A2903" s="6">
        <v>2901</v>
      </c>
      <c r="B2903" s="7" t="str">
        <f t="shared" si="693"/>
        <v>210</v>
      </c>
      <c r="C2903" s="7" t="s">
        <v>2395</v>
      </c>
      <c r="D2903" s="7" t="s">
        <v>2306</v>
      </c>
      <c r="E2903" s="7" t="str">
        <f>"王秋梅"</f>
        <v>王秋梅</v>
      </c>
      <c r="F2903" s="7" t="str">
        <f t="shared" si="692"/>
        <v>女</v>
      </c>
      <c r="G2903" s="7" t="s">
        <v>2403</v>
      </c>
      <c r="H2903" s="8"/>
    </row>
    <row r="2904" ht="25" customHeight="1" spans="1:8">
      <c r="A2904" s="6">
        <v>2902</v>
      </c>
      <c r="B2904" s="7" t="str">
        <f t="shared" si="693"/>
        <v>210</v>
      </c>
      <c r="C2904" s="7" t="s">
        <v>2395</v>
      </c>
      <c r="D2904" s="7" t="s">
        <v>2306</v>
      </c>
      <c r="E2904" s="7" t="str">
        <f>"陈莉"</f>
        <v>陈莉</v>
      </c>
      <c r="F2904" s="7" t="str">
        <f t="shared" si="692"/>
        <v>女</v>
      </c>
      <c r="G2904" s="7" t="s">
        <v>2404</v>
      </c>
      <c r="H2904" s="8"/>
    </row>
    <row r="2905" ht="25" customHeight="1" spans="1:8">
      <c r="A2905" s="6">
        <v>2903</v>
      </c>
      <c r="B2905" s="7" t="str">
        <f t="shared" si="693"/>
        <v>210</v>
      </c>
      <c r="C2905" s="7" t="s">
        <v>2395</v>
      </c>
      <c r="D2905" s="7" t="s">
        <v>2306</v>
      </c>
      <c r="E2905" s="7" t="str">
        <f>"黄娟"</f>
        <v>黄娟</v>
      </c>
      <c r="F2905" s="7" t="str">
        <f t="shared" si="692"/>
        <v>女</v>
      </c>
      <c r="G2905" s="7" t="s">
        <v>2405</v>
      </c>
      <c r="H2905" s="8"/>
    </row>
    <row r="2906" ht="25" customHeight="1" spans="1:8">
      <c r="A2906" s="6">
        <v>2904</v>
      </c>
      <c r="B2906" s="7" t="str">
        <f t="shared" si="693"/>
        <v>210</v>
      </c>
      <c r="C2906" s="7" t="s">
        <v>2395</v>
      </c>
      <c r="D2906" s="7" t="s">
        <v>2306</v>
      </c>
      <c r="E2906" s="7" t="str">
        <f>"黄小妹"</f>
        <v>黄小妹</v>
      </c>
      <c r="F2906" s="7" t="str">
        <f t="shared" si="692"/>
        <v>女</v>
      </c>
      <c r="G2906" s="7" t="s">
        <v>114</v>
      </c>
      <c r="H2906" s="8"/>
    </row>
    <row r="2907" ht="25" customHeight="1" spans="1:8">
      <c r="A2907" s="6">
        <v>2905</v>
      </c>
      <c r="B2907" s="7" t="str">
        <f t="shared" si="693"/>
        <v>210</v>
      </c>
      <c r="C2907" s="7" t="s">
        <v>2395</v>
      </c>
      <c r="D2907" s="7" t="s">
        <v>2306</v>
      </c>
      <c r="E2907" s="7" t="str">
        <f>"羊淑丽"</f>
        <v>羊淑丽</v>
      </c>
      <c r="F2907" s="7" t="str">
        <f t="shared" si="692"/>
        <v>女</v>
      </c>
      <c r="G2907" s="7" t="s">
        <v>2406</v>
      </c>
      <c r="H2907" s="8"/>
    </row>
    <row r="2908" ht="25" customHeight="1" spans="1:8">
      <c r="A2908" s="6">
        <v>2906</v>
      </c>
      <c r="B2908" s="7" t="str">
        <f t="shared" si="693"/>
        <v>210</v>
      </c>
      <c r="C2908" s="7" t="s">
        <v>2395</v>
      </c>
      <c r="D2908" s="7" t="s">
        <v>2306</v>
      </c>
      <c r="E2908" s="7" t="str">
        <f>"蔡祖丞"</f>
        <v>蔡祖丞</v>
      </c>
      <c r="F2908" s="7" t="str">
        <f>"男"</f>
        <v>男</v>
      </c>
      <c r="G2908" s="7" t="s">
        <v>2407</v>
      </c>
      <c r="H2908" s="8"/>
    </row>
    <row r="2909" ht="25" customHeight="1" spans="1:8">
      <c r="A2909" s="6">
        <v>2907</v>
      </c>
      <c r="B2909" s="7" t="str">
        <f t="shared" si="693"/>
        <v>210</v>
      </c>
      <c r="C2909" s="7" t="s">
        <v>2395</v>
      </c>
      <c r="D2909" s="7" t="s">
        <v>2306</v>
      </c>
      <c r="E2909" s="7" t="str">
        <f>"吴静桂"</f>
        <v>吴静桂</v>
      </c>
      <c r="F2909" s="7" t="str">
        <f t="shared" ref="F2909:F2912" si="694">"女"</f>
        <v>女</v>
      </c>
      <c r="G2909" s="7" t="s">
        <v>2408</v>
      </c>
      <c r="H2909" s="8"/>
    </row>
    <row r="2910" ht="25" customHeight="1" spans="1:8">
      <c r="A2910" s="6">
        <v>2908</v>
      </c>
      <c r="B2910" s="7" t="str">
        <f t="shared" si="693"/>
        <v>210</v>
      </c>
      <c r="C2910" s="7" t="s">
        <v>2395</v>
      </c>
      <c r="D2910" s="7" t="s">
        <v>2306</v>
      </c>
      <c r="E2910" s="7" t="str">
        <f>"赵媛"</f>
        <v>赵媛</v>
      </c>
      <c r="F2910" s="7" t="str">
        <f t="shared" si="694"/>
        <v>女</v>
      </c>
      <c r="G2910" s="7" t="s">
        <v>2409</v>
      </c>
      <c r="H2910" s="8"/>
    </row>
    <row r="2911" ht="25" customHeight="1" spans="1:8">
      <c r="A2911" s="6">
        <v>2909</v>
      </c>
      <c r="B2911" s="7" t="str">
        <f t="shared" si="693"/>
        <v>210</v>
      </c>
      <c r="C2911" s="7" t="s">
        <v>2395</v>
      </c>
      <c r="D2911" s="7" t="s">
        <v>2306</v>
      </c>
      <c r="E2911" s="7" t="str">
        <f>"钟文祯"</f>
        <v>钟文祯</v>
      </c>
      <c r="F2911" s="7" t="str">
        <f t="shared" si="694"/>
        <v>女</v>
      </c>
      <c r="G2911" s="7" t="s">
        <v>684</v>
      </c>
      <c r="H2911" s="8"/>
    </row>
    <row r="2912" ht="25" customHeight="1" spans="1:8">
      <c r="A2912" s="6">
        <v>2910</v>
      </c>
      <c r="B2912" s="7" t="str">
        <f t="shared" si="693"/>
        <v>210</v>
      </c>
      <c r="C2912" s="7" t="s">
        <v>2395</v>
      </c>
      <c r="D2912" s="7" t="s">
        <v>2306</v>
      </c>
      <c r="E2912" s="7" t="str">
        <f>"陈娟娟"</f>
        <v>陈娟娟</v>
      </c>
      <c r="F2912" s="7" t="str">
        <f t="shared" si="694"/>
        <v>女</v>
      </c>
      <c r="G2912" s="7" t="s">
        <v>2260</v>
      </c>
      <c r="H2912" s="8"/>
    </row>
    <row r="2913" ht="25" customHeight="1" spans="1:8">
      <c r="A2913" s="6">
        <v>2911</v>
      </c>
      <c r="B2913" s="7" t="str">
        <f t="shared" si="693"/>
        <v>210</v>
      </c>
      <c r="C2913" s="7" t="s">
        <v>2395</v>
      </c>
      <c r="D2913" s="7" t="s">
        <v>2306</v>
      </c>
      <c r="E2913" s="7" t="str">
        <f>"邱昊"</f>
        <v>邱昊</v>
      </c>
      <c r="F2913" s="7" t="str">
        <f>"男"</f>
        <v>男</v>
      </c>
      <c r="G2913" s="7" t="s">
        <v>2410</v>
      </c>
      <c r="H2913" s="8"/>
    </row>
    <row r="2914" ht="25" customHeight="1" spans="1:8">
      <c r="A2914" s="6">
        <v>2912</v>
      </c>
      <c r="B2914" s="7" t="str">
        <f t="shared" si="693"/>
        <v>210</v>
      </c>
      <c r="C2914" s="7" t="s">
        <v>2395</v>
      </c>
      <c r="D2914" s="7" t="s">
        <v>2306</v>
      </c>
      <c r="E2914" s="7" t="str">
        <f>"陈依静"</f>
        <v>陈依静</v>
      </c>
      <c r="F2914" s="7" t="str">
        <f t="shared" ref="F2914:F2924" si="695">"女"</f>
        <v>女</v>
      </c>
      <c r="G2914" s="7" t="s">
        <v>2411</v>
      </c>
      <c r="H2914" s="8"/>
    </row>
    <row r="2915" ht="25" customHeight="1" spans="1:8">
      <c r="A2915" s="6">
        <v>2913</v>
      </c>
      <c r="B2915" s="7" t="str">
        <f t="shared" si="693"/>
        <v>210</v>
      </c>
      <c r="C2915" s="7" t="s">
        <v>2395</v>
      </c>
      <c r="D2915" s="7" t="s">
        <v>2306</v>
      </c>
      <c r="E2915" s="7" t="str">
        <f>"夏伟师"</f>
        <v>夏伟师</v>
      </c>
      <c r="F2915" s="7" t="str">
        <f>"男"</f>
        <v>男</v>
      </c>
      <c r="G2915" s="7" t="s">
        <v>630</v>
      </c>
      <c r="H2915" s="8"/>
    </row>
    <row r="2916" ht="25" customHeight="1" spans="1:8">
      <c r="A2916" s="6">
        <v>2914</v>
      </c>
      <c r="B2916" s="7" t="str">
        <f t="shared" si="693"/>
        <v>210</v>
      </c>
      <c r="C2916" s="7" t="s">
        <v>2395</v>
      </c>
      <c r="D2916" s="7" t="s">
        <v>2306</v>
      </c>
      <c r="E2916" s="7" t="str">
        <f>"丰华欣"</f>
        <v>丰华欣</v>
      </c>
      <c r="F2916" s="7" t="str">
        <f t="shared" si="695"/>
        <v>女</v>
      </c>
      <c r="G2916" s="7" t="s">
        <v>2412</v>
      </c>
      <c r="H2916" s="8"/>
    </row>
    <row r="2917" ht="25" customHeight="1" spans="1:8">
      <c r="A2917" s="6">
        <v>2915</v>
      </c>
      <c r="B2917" s="7" t="str">
        <f t="shared" si="693"/>
        <v>210</v>
      </c>
      <c r="C2917" s="7" t="s">
        <v>2395</v>
      </c>
      <c r="D2917" s="7" t="s">
        <v>2306</v>
      </c>
      <c r="E2917" s="7" t="str">
        <f>"赵广益"</f>
        <v>赵广益</v>
      </c>
      <c r="F2917" s="7" t="str">
        <f t="shared" si="695"/>
        <v>女</v>
      </c>
      <c r="G2917" s="7" t="s">
        <v>2413</v>
      </c>
      <c r="H2917" s="8"/>
    </row>
    <row r="2918" ht="25" customHeight="1" spans="1:8">
      <c r="A2918" s="6">
        <v>2916</v>
      </c>
      <c r="B2918" s="7" t="str">
        <f t="shared" si="693"/>
        <v>210</v>
      </c>
      <c r="C2918" s="7" t="s">
        <v>2395</v>
      </c>
      <c r="D2918" s="7" t="s">
        <v>2306</v>
      </c>
      <c r="E2918" s="7" t="str">
        <f>"邵才苏"</f>
        <v>邵才苏</v>
      </c>
      <c r="F2918" s="7" t="str">
        <f t="shared" si="695"/>
        <v>女</v>
      </c>
      <c r="G2918" s="7" t="s">
        <v>2414</v>
      </c>
      <c r="H2918" s="8"/>
    </row>
    <row r="2919" ht="25" customHeight="1" spans="1:8">
      <c r="A2919" s="6">
        <v>2917</v>
      </c>
      <c r="B2919" s="7" t="str">
        <f t="shared" si="693"/>
        <v>210</v>
      </c>
      <c r="C2919" s="7" t="s">
        <v>2395</v>
      </c>
      <c r="D2919" s="7" t="s">
        <v>2306</v>
      </c>
      <c r="E2919" s="7" t="str">
        <f>"韦温馨"</f>
        <v>韦温馨</v>
      </c>
      <c r="F2919" s="7" t="str">
        <f t="shared" si="695"/>
        <v>女</v>
      </c>
      <c r="G2919" s="7" t="s">
        <v>938</v>
      </c>
      <c r="H2919" s="8"/>
    </row>
    <row r="2920" ht="25" customHeight="1" spans="1:8">
      <c r="A2920" s="6">
        <v>2918</v>
      </c>
      <c r="B2920" s="7" t="str">
        <f t="shared" si="693"/>
        <v>210</v>
      </c>
      <c r="C2920" s="7" t="s">
        <v>2395</v>
      </c>
      <c r="D2920" s="7" t="s">
        <v>2306</v>
      </c>
      <c r="E2920" s="7" t="str">
        <f>"何岚"</f>
        <v>何岚</v>
      </c>
      <c r="F2920" s="7" t="str">
        <f t="shared" si="695"/>
        <v>女</v>
      </c>
      <c r="G2920" s="7" t="s">
        <v>2415</v>
      </c>
      <c r="H2920" s="8"/>
    </row>
    <row r="2921" ht="25" customHeight="1" spans="1:8">
      <c r="A2921" s="6">
        <v>2919</v>
      </c>
      <c r="B2921" s="7" t="str">
        <f t="shared" si="693"/>
        <v>210</v>
      </c>
      <c r="C2921" s="7" t="s">
        <v>2395</v>
      </c>
      <c r="D2921" s="7" t="s">
        <v>2306</v>
      </c>
      <c r="E2921" s="7" t="str">
        <f>"刘思妍"</f>
        <v>刘思妍</v>
      </c>
      <c r="F2921" s="7" t="str">
        <f t="shared" si="695"/>
        <v>女</v>
      </c>
      <c r="G2921" s="7" t="s">
        <v>2416</v>
      </c>
      <c r="H2921" s="8"/>
    </row>
    <row r="2922" ht="25" customHeight="1" spans="1:8">
      <c r="A2922" s="6">
        <v>2920</v>
      </c>
      <c r="B2922" s="7" t="str">
        <f t="shared" si="693"/>
        <v>210</v>
      </c>
      <c r="C2922" s="7" t="s">
        <v>2395</v>
      </c>
      <c r="D2922" s="7" t="s">
        <v>2306</v>
      </c>
      <c r="E2922" s="7" t="str">
        <f>"汪慧"</f>
        <v>汪慧</v>
      </c>
      <c r="F2922" s="7" t="str">
        <f t="shared" si="695"/>
        <v>女</v>
      </c>
      <c r="G2922" s="7" t="s">
        <v>2417</v>
      </c>
      <c r="H2922" s="8"/>
    </row>
    <row r="2923" ht="25" customHeight="1" spans="1:8">
      <c r="A2923" s="6">
        <v>2921</v>
      </c>
      <c r="B2923" s="7" t="str">
        <f t="shared" si="693"/>
        <v>210</v>
      </c>
      <c r="C2923" s="7" t="s">
        <v>2395</v>
      </c>
      <c r="D2923" s="7" t="s">
        <v>2306</v>
      </c>
      <c r="E2923" s="7" t="str">
        <f>"陈凝"</f>
        <v>陈凝</v>
      </c>
      <c r="F2923" s="7" t="str">
        <f t="shared" si="695"/>
        <v>女</v>
      </c>
      <c r="G2923" s="7" t="s">
        <v>2418</v>
      </c>
      <c r="H2923" s="8"/>
    </row>
    <row r="2924" ht="25" customHeight="1" spans="1:8">
      <c r="A2924" s="6">
        <v>2922</v>
      </c>
      <c r="B2924" s="7" t="str">
        <f t="shared" ref="B2924:B2979" si="696">"212"</f>
        <v>212</v>
      </c>
      <c r="C2924" s="7" t="s">
        <v>2419</v>
      </c>
      <c r="D2924" s="7" t="s">
        <v>2306</v>
      </c>
      <c r="E2924" s="7" t="str">
        <f>"张琦伟"</f>
        <v>张琦伟</v>
      </c>
      <c r="F2924" s="7" t="str">
        <f t="shared" si="695"/>
        <v>女</v>
      </c>
      <c r="G2924" s="7" t="s">
        <v>2420</v>
      </c>
      <c r="H2924" s="8"/>
    </row>
    <row r="2925" ht="25" customHeight="1" spans="1:8">
      <c r="A2925" s="6">
        <v>2923</v>
      </c>
      <c r="B2925" s="7" t="str">
        <f t="shared" si="696"/>
        <v>212</v>
      </c>
      <c r="C2925" s="7" t="s">
        <v>2419</v>
      </c>
      <c r="D2925" s="7" t="s">
        <v>2306</v>
      </c>
      <c r="E2925" s="7" t="str">
        <f>"武劲松"</f>
        <v>武劲松</v>
      </c>
      <c r="F2925" s="7" t="str">
        <f t="shared" ref="F2925:F2929" si="697">"男"</f>
        <v>男</v>
      </c>
      <c r="G2925" s="7" t="s">
        <v>2421</v>
      </c>
      <c r="H2925" s="8"/>
    </row>
    <row r="2926" ht="25" customHeight="1" spans="1:8">
      <c r="A2926" s="6">
        <v>2924</v>
      </c>
      <c r="B2926" s="7" t="str">
        <f t="shared" si="696"/>
        <v>212</v>
      </c>
      <c r="C2926" s="7" t="s">
        <v>2419</v>
      </c>
      <c r="D2926" s="7" t="s">
        <v>2306</v>
      </c>
      <c r="E2926" s="7" t="str">
        <f>"何学真"</f>
        <v>何学真</v>
      </c>
      <c r="F2926" s="7" t="str">
        <f t="shared" ref="F2926:F2936" si="698">"女"</f>
        <v>女</v>
      </c>
      <c r="G2926" s="7" t="s">
        <v>2422</v>
      </c>
      <c r="H2926" s="8"/>
    </row>
    <row r="2927" ht="25" customHeight="1" spans="1:8">
      <c r="A2927" s="6">
        <v>2925</v>
      </c>
      <c r="B2927" s="7" t="str">
        <f t="shared" si="696"/>
        <v>212</v>
      </c>
      <c r="C2927" s="7" t="s">
        <v>2419</v>
      </c>
      <c r="D2927" s="7" t="s">
        <v>2306</v>
      </c>
      <c r="E2927" s="7" t="str">
        <f>"袁珍"</f>
        <v>袁珍</v>
      </c>
      <c r="F2927" s="7" t="str">
        <f t="shared" si="698"/>
        <v>女</v>
      </c>
      <c r="G2927" s="7" t="s">
        <v>2423</v>
      </c>
      <c r="H2927" s="8"/>
    </row>
    <row r="2928" ht="25" customHeight="1" spans="1:8">
      <c r="A2928" s="6">
        <v>2926</v>
      </c>
      <c r="B2928" s="7" t="str">
        <f t="shared" si="696"/>
        <v>212</v>
      </c>
      <c r="C2928" s="7" t="s">
        <v>2419</v>
      </c>
      <c r="D2928" s="7" t="s">
        <v>2306</v>
      </c>
      <c r="E2928" s="7" t="str">
        <f>"李乃龙"</f>
        <v>李乃龙</v>
      </c>
      <c r="F2928" s="7" t="str">
        <f t="shared" si="697"/>
        <v>男</v>
      </c>
      <c r="G2928" s="7" t="s">
        <v>2424</v>
      </c>
      <c r="H2928" s="8"/>
    </row>
    <row r="2929" ht="25" customHeight="1" spans="1:8">
      <c r="A2929" s="6">
        <v>2927</v>
      </c>
      <c r="B2929" s="7" t="str">
        <f t="shared" si="696"/>
        <v>212</v>
      </c>
      <c r="C2929" s="7" t="s">
        <v>2419</v>
      </c>
      <c r="D2929" s="7" t="s">
        <v>2306</v>
      </c>
      <c r="E2929" s="7" t="str">
        <f>"辛亮亮"</f>
        <v>辛亮亮</v>
      </c>
      <c r="F2929" s="7" t="str">
        <f t="shared" si="697"/>
        <v>男</v>
      </c>
      <c r="G2929" s="7" t="s">
        <v>2425</v>
      </c>
      <c r="H2929" s="8"/>
    </row>
    <row r="2930" ht="25" customHeight="1" spans="1:8">
      <c r="A2930" s="6">
        <v>2928</v>
      </c>
      <c r="B2930" s="7" t="str">
        <f t="shared" si="696"/>
        <v>212</v>
      </c>
      <c r="C2930" s="7" t="s">
        <v>2419</v>
      </c>
      <c r="D2930" s="7" t="s">
        <v>2306</v>
      </c>
      <c r="E2930" s="7" t="str">
        <f>"吴小蕊"</f>
        <v>吴小蕊</v>
      </c>
      <c r="F2930" s="7" t="str">
        <f t="shared" si="698"/>
        <v>女</v>
      </c>
      <c r="G2930" s="7" t="s">
        <v>1274</v>
      </c>
      <c r="H2930" s="8"/>
    </row>
    <row r="2931" ht="25" customHeight="1" spans="1:8">
      <c r="A2931" s="6">
        <v>2929</v>
      </c>
      <c r="B2931" s="7" t="str">
        <f t="shared" si="696"/>
        <v>212</v>
      </c>
      <c r="C2931" s="7" t="s">
        <v>2419</v>
      </c>
      <c r="D2931" s="7" t="s">
        <v>2306</v>
      </c>
      <c r="E2931" s="7" t="str">
        <f>"钱管秀"</f>
        <v>钱管秀</v>
      </c>
      <c r="F2931" s="7" t="str">
        <f t="shared" si="698"/>
        <v>女</v>
      </c>
      <c r="G2931" s="7" t="s">
        <v>2426</v>
      </c>
      <c r="H2931" s="8"/>
    </row>
    <row r="2932" ht="25" customHeight="1" spans="1:8">
      <c r="A2932" s="6">
        <v>2930</v>
      </c>
      <c r="B2932" s="7" t="str">
        <f t="shared" si="696"/>
        <v>212</v>
      </c>
      <c r="C2932" s="7" t="s">
        <v>2419</v>
      </c>
      <c r="D2932" s="7" t="s">
        <v>2306</v>
      </c>
      <c r="E2932" s="7" t="str">
        <f>"郑渊芳"</f>
        <v>郑渊芳</v>
      </c>
      <c r="F2932" s="7" t="str">
        <f t="shared" si="698"/>
        <v>女</v>
      </c>
      <c r="G2932" s="7" t="s">
        <v>2427</v>
      </c>
      <c r="H2932" s="8"/>
    </row>
    <row r="2933" ht="25" customHeight="1" spans="1:8">
      <c r="A2933" s="6">
        <v>2931</v>
      </c>
      <c r="B2933" s="7" t="str">
        <f t="shared" si="696"/>
        <v>212</v>
      </c>
      <c r="C2933" s="7" t="s">
        <v>2419</v>
      </c>
      <c r="D2933" s="7" t="s">
        <v>2306</v>
      </c>
      <c r="E2933" s="7" t="str">
        <f>"吕琴琴"</f>
        <v>吕琴琴</v>
      </c>
      <c r="F2933" s="7" t="str">
        <f t="shared" si="698"/>
        <v>女</v>
      </c>
      <c r="G2933" s="7" t="s">
        <v>2428</v>
      </c>
      <c r="H2933" s="8"/>
    </row>
    <row r="2934" ht="25" customHeight="1" spans="1:8">
      <c r="A2934" s="6">
        <v>2932</v>
      </c>
      <c r="B2934" s="7" t="str">
        <f t="shared" si="696"/>
        <v>212</v>
      </c>
      <c r="C2934" s="7" t="s">
        <v>2419</v>
      </c>
      <c r="D2934" s="7" t="s">
        <v>2306</v>
      </c>
      <c r="E2934" s="7" t="str">
        <f>"张潇匀"</f>
        <v>张潇匀</v>
      </c>
      <c r="F2934" s="7" t="str">
        <f t="shared" si="698"/>
        <v>女</v>
      </c>
      <c r="G2934" s="7" t="s">
        <v>2429</v>
      </c>
      <c r="H2934" s="8"/>
    </row>
    <row r="2935" ht="25" customHeight="1" spans="1:8">
      <c r="A2935" s="6">
        <v>2933</v>
      </c>
      <c r="B2935" s="7" t="str">
        <f t="shared" si="696"/>
        <v>212</v>
      </c>
      <c r="C2935" s="7" t="s">
        <v>2419</v>
      </c>
      <c r="D2935" s="7" t="s">
        <v>2306</v>
      </c>
      <c r="E2935" s="7" t="str">
        <f>"陈艺彤"</f>
        <v>陈艺彤</v>
      </c>
      <c r="F2935" s="7" t="str">
        <f t="shared" si="698"/>
        <v>女</v>
      </c>
      <c r="G2935" s="7" t="s">
        <v>2430</v>
      </c>
      <c r="H2935" s="8"/>
    </row>
    <row r="2936" ht="25" customHeight="1" spans="1:8">
      <c r="A2936" s="6">
        <v>2934</v>
      </c>
      <c r="B2936" s="7" t="str">
        <f t="shared" si="696"/>
        <v>212</v>
      </c>
      <c r="C2936" s="7" t="s">
        <v>2419</v>
      </c>
      <c r="D2936" s="7" t="s">
        <v>2306</v>
      </c>
      <c r="E2936" s="7" t="str">
        <f>"刘玉茹"</f>
        <v>刘玉茹</v>
      </c>
      <c r="F2936" s="7" t="str">
        <f t="shared" si="698"/>
        <v>女</v>
      </c>
      <c r="G2936" s="7" t="s">
        <v>2431</v>
      </c>
      <c r="H2936" s="8"/>
    </row>
    <row r="2937" ht="25" customHeight="1" spans="1:8">
      <c r="A2937" s="6">
        <v>2935</v>
      </c>
      <c r="B2937" s="7" t="str">
        <f t="shared" si="696"/>
        <v>212</v>
      </c>
      <c r="C2937" s="7" t="s">
        <v>2419</v>
      </c>
      <c r="D2937" s="7" t="s">
        <v>2306</v>
      </c>
      <c r="E2937" s="7" t="str">
        <f>"虞灏"</f>
        <v>虞灏</v>
      </c>
      <c r="F2937" s="7" t="str">
        <f>"男"</f>
        <v>男</v>
      </c>
      <c r="G2937" s="7" t="s">
        <v>2432</v>
      </c>
      <c r="H2937" s="8"/>
    </row>
    <row r="2938" ht="25" customHeight="1" spans="1:8">
      <c r="A2938" s="6">
        <v>2936</v>
      </c>
      <c r="B2938" s="7" t="str">
        <f t="shared" si="696"/>
        <v>212</v>
      </c>
      <c r="C2938" s="7" t="s">
        <v>2419</v>
      </c>
      <c r="D2938" s="7" t="s">
        <v>2306</v>
      </c>
      <c r="E2938" s="7" t="str">
        <f>"邢景睿"</f>
        <v>邢景睿</v>
      </c>
      <c r="F2938" s="7" t="str">
        <f>"男"</f>
        <v>男</v>
      </c>
      <c r="G2938" s="7" t="s">
        <v>1689</v>
      </c>
      <c r="H2938" s="8"/>
    </row>
    <row r="2939" ht="25" customHeight="1" spans="1:8">
      <c r="A2939" s="6">
        <v>2937</v>
      </c>
      <c r="B2939" s="7" t="str">
        <f t="shared" si="696"/>
        <v>212</v>
      </c>
      <c r="C2939" s="7" t="s">
        <v>2419</v>
      </c>
      <c r="D2939" s="7" t="s">
        <v>2306</v>
      </c>
      <c r="E2939" s="7" t="str">
        <f>"姜淑琪"</f>
        <v>姜淑琪</v>
      </c>
      <c r="F2939" s="7" t="str">
        <f t="shared" ref="F2939:F2943" si="699">"女"</f>
        <v>女</v>
      </c>
      <c r="G2939" s="7" t="s">
        <v>2433</v>
      </c>
      <c r="H2939" s="8"/>
    </row>
    <row r="2940" ht="25" customHeight="1" spans="1:8">
      <c r="A2940" s="6">
        <v>2938</v>
      </c>
      <c r="B2940" s="7" t="str">
        <f t="shared" si="696"/>
        <v>212</v>
      </c>
      <c r="C2940" s="7" t="s">
        <v>2419</v>
      </c>
      <c r="D2940" s="7" t="s">
        <v>2306</v>
      </c>
      <c r="E2940" s="7" t="str">
        <f>"王仙仙"</f>
        <v>王仙仙</v>
      </c>
      <c r="F2940" s="7" t="str">
        <f t="shared" si="699"/>
        <v>女</v>
      </c>
      <c r="G2940" s="7" t="s">
        <v>2434</v>
      </c>
      <c r="H2940" s="8"/>
    </row>
    <row r="2941" ht="25" customHeight="1" spans="1:8">
      <c r="A2941" s="6">
        <v>2939</v>
      </c>
      <c r="B2941" s="7" t="str">
        <f t="shared" si="696"/>
        <v>212</v>
      </c>
      <c r="C2941" s="7" t="s">
        <v>2419</v>
      </c>
      <c r="D2941" s="7" t="s">
        <v>2306</v>
      </c>
      <c r="E2941" s="7" t="str">
        <f>"陈子倩"</f>
        <v>陈子倩</v>
      </c>
      <c r="F2941" s="7" t="str">
        <f t="shared" si="699"/>
        <v>女</v>
      </c>
      <c r="G2941" s="7" t="s">
        <v>2435</v>
      </c>
      <c r="H2941" s="8"/>
    </row>
    <row r="2942" ht="25" customHeight="1" spans="1:8">
      <c r="A2942" s="6">
        <v>2940</v>
      </c>
      <c r="B2942" s="7" t="str">
        <f t="shared" si="696"/>
        <v>212</v>
      </c>
      <c r="C2942" s="7" t="s">
        <v>2419</v>
      </c>
      <c r="D2942" s="7" t="s">
        <v>2306</v>
      </c>
      <c r="E2942" s="7" t="str">
        <f>"李桃芳"</f>
        <v>李桃芳</v>
      </c>
      <c r="F2942" s="7" t="str">
        <f t="shared" si="699"/>
        <v>女</v>
      </c>
      <c r="G2942" s="7" t="s">
        <v>507</v>
      </c>
      <c r="H2942" s="8"/>
    </row>
    <row r="2943" ht="25" customHeight="1" spans="1:8">
      <c r="A2943" s="6">
        <v>2941</v>
      </c>
      <c r="B2943" s="7" t="str">
        <f t="shared" si="696"/>
        <v>212</v>
      </c>
      <c r="C2943" s="7" t="s">
        <v>2419</v>
      </c>
      <c r="D2943" s="7" t="s">
        <v>2306</v>
      </c>
      <c r="E2943" s="7" t="str">
        <f>"耿月"</f>
        <v>耿月</v>
      </c>
      <c r="F2943" s="7" t="str">
        <f t="shared" si="699"/>
        <v>女</v>
      </c>
      <c r="G2943" s="7" t="s">
        <v>2436</v>
      </c>
      <c r="H2943" s="8"/>
    </row>
    <row r="2944" ht="25" customHeight="1" spans="1:8">
      <c r="A2944" s="6">
        <v>2942</v>
      </c>
      <c r="B2944" s="7" t="str">
        <f t="shared" si="696"/>
        <v>212</v>
      </c>
      <c r="C2944" s="7" t="s">
        <v>2419</v>
      </c>
      <c r="D2944" s="7" t="s">
        <v>2306</v>
      </c>
      <c r="E2944" s="7" t="str">
        <f>"符天廷"</f>
        <v>符天廷</v>
      </c>
      <c r="F2944" s="7" t="str">
        <f>"男"</f>
        <v>男</v>
      </c>
      <c r="G2944" s="7" t="s">
        <v>2437</v>
      </c>
      <c r="H2944" s="8"/>
    </row>
    <row r="2945" ht="25" customHeight="1" spans="1:8">
      <c r="A2945" s="6">
        <v>2943</v>
      </c>
      <c r="B2945" s="7" t="str">
        <f t="shared" si="696"/>
        <v>212</v>
      </c>
      <c r="C2945" s="7" t="s">
        <v>2419</v>
      </c>
      <c r="D2945" s="7" t="s">
        <v>2306</v>
      </c>
      <c r="E2945" s="7" t="str">
        <f>"黄恋云"</f>
        <v>黄恋云</v>
      </c>
      <c r="F2945" s="7" t="str">
        <f t="shared" ref="F2945:F2949" si="700">"女"</f>
        <v>女</v>
      </c>
      <c r="G2945" s="7" t="s">
        <v>817</v>
      </c>
      <c r="H2945" s="8"/>
    </row>
    <row r="2946" ht="25" customHeight="1" spans="1:8">
      <c r="A2946" s="6">
        <v>2944</v>
      </c>
      <c r="B2946" s="7" t="str">
        <f t="shared" si="696"/>
        <v>212</v>
      </c>
      <c r="C2946" s="7" t="s">
        <v>2419</v>
      </c>
      <c r="D2946" s="7" t="s">
        <v>2306</v>
      </c>
      <c r="E2946" s="7" t="str">
        <f>"袁毓淞"</f>
        <v>袁毓淞</v>
      </c>
      <c r="F2946" s="7" t="str">
        <f t="shared" si="700"/>
        <v>女</v>
      </c>
      <c r="G2946" s="7" t="s">
        <v>2438</v>
      </c>
      <c r="H2946" s="8"/>
    </row>
    <row r="2947" ht="25" customHeight="1" spans="1:8">
      <c r="A2947" s="6">
        <v>2945</v>
      </c>
      <c r="B2947" s="7" t="str">
        <f t="shared" si="696"/>
        <v>212</v>
      </c>
      <c r="C2947" s="7" t="s">
        <v>2419</v>
      </c>
      <c r="D2947" s="7" t="s">
        <v>2306</v>
      </c>
      <c r="E2947" s="7" t="str">
        <f>"谢兴光"</f>
        <v>谢兴光</v>
      </c>
      <c r="F2947" s="7" t="str">
        <f t="shared" ref="F2947:F2952" si="701">"男"</f>
        <v>男</v>
      </c>
      <c r="G2947" s="7" t="s">
        <v>2439</v>
      </c>
      <c r="H2947" s="8"/>
    </row>
    <row r="2948" ht="25" customHeight="1" spans="1:8">
      <c r="A2948" s="6">
        <v>2946</v>
      </c>
      <c r="B2948" s="7" t="str">
        <f t="shared" si="696"/>
        <v>212</v>
      </c>
      <c r="C2948" s="7" t="s">
        <v>2419</v>
      </c>
      <c r="D2948" s="7" t="s">
        <v>2306</v>
      </c>
      <c r="E2948" s="7" t="str">
        <f>"祝明媚"</f>
        <v>祝明媚</v>
      </c>
      <c r="F2948" s="7" t="str">
        <f t="shared" si="700"/>
        <v>女</v>
      </c>
      <c r="G2948" s="7" t="s">
        <v>2440</v>
      </c>
      <c r="H2948" s="8"/>
    </row>
    <row r="2949" ht="25" customHeight="1" spans="1:8">
      <c r="A2949" s="6">
        <v>2947</v>
      </c>
      <c r="B2949" s="7" t="str">
        <f t="shared" si="696"/>
        <v>212</v>
      </c>
      <c r="C2949" s="7" t="s">
        <v>2419</v>
      </c>
      <c r="D2949" s="7" t="s">
        <v>2306</v>
      </c>
      <c r="E2949" s="7" t="str">
        <f>"符晓菲"</f>
        <v>符晓菲</v>
      </c>
      <c r="F2949" s="7" t="str">
        <f t="shared" si="700"/>
        <v>女</v>
      </c>
      <c r="G2949" s="7" t="s">
        <v>2441</v>
      </c>
      <c r="H2949" s="8"/>
    </row>
    <row r="2950" ht="25" customHeight="1" spans="1:8">
      <c r="A2950" s="6">
        <v>2948</v>
      </c>
      <c r="B2950" s="7" t="str">
        <f t="shared" si="696"/>
        <v>212</v>
      </c>
      <c r="C2950" s="7" t="s">
        <v>2419</v>
      </c>
      <c r="D2950" s="7" t="s">
        <v>2306</v>
      </c>
      <c r="E2950" s="7" t="str">
        <f>"庄清勄"</f>
        <v>庄清勄</v>
      </c>
      <c r="F2950" s="7" t="str">
        <f t="shared" si="701"/>
        <v>男</v>
      </c>
      <c r="G2950" s="7" t="s">
        <v>2442</v>
      </c>
      <c r="H2950" s="8"/>
    </row>
    <row r="2951" ht="25" customHeight="1" spans="1:8">
      <c r="A2951" s="6">
        <v>2949</v>
      </c>
      <c r="B2951" s="7" t="str">
        <f t="shared" si="696"/>
        <v>212</v>
      </c>
      <c r="C2951" s="7" t="s">
        <v>2419</v>
      </c>
      <c r="D2951" s="7" t="s">
        <v>2306</v>
      </c>
      <c r="E2951" s="7" t="str">
        <f>"李昭亭"</f>
        <v>李昭亭</v>
      </c>
      <c r="F2951" s="7" t="str">
        <f t="shared" ref="F2951:F2960" si="702">"女"</f>
        <v>女</v>
      </c>
      <c r="G2951" s="7" t="s">
        <v>2443</v>
      </c>
      <c r="H2951" s="8"/>
    </row>
    <row r="2952" ht="25" customHeight="1" spans="1:8">
      <c r="A2952" s="6">
        <v>2950</v>
      </c>
      <c r="B2952" s="7" t="str">
        <f t="shared" si="696"/>
        <v>212</v>
      </c>
      <c r="C2952" s="7" t="s">
        <v>2419</v>
      </c>
      <c r="D2952" s="7" t="s">
        <v>2306</v>
      </c>
      <c r="E2952" s="7" t="str">
        <f>"徐少卿"</f>
        <v>徐少卿</v>
      </c>
      <c r="F2952" s="7" t="str">
        <f t="shared" si="701"/>
        <v>男</v>
      </c>
      <c r="G2952" s="7" t="s">
        <v>2444</v>
      </c>
      <c r="H2952" s="8"/>
    </row>
    <row r="2953" ht="25" customHeight="1" spans="1:8">
      <c r="A2953" s="6">
        <v>2951</v>
      </c>
      <c r="B2953" s="7" t="str">
        <f t="shared" si="696"/>
        <v>212</v>
      </c>
      <c r="C2953" s="7" t="s">
        <v>2419</v>
      </c>
      <c r="D2953" s="7" t="s">
        <v>2306</v>
      </c>
      <c r="E2953" s="7" t="str">
        <f>"唐彩莲"</f>
        <v>唐彩莲</v>
      </c>
      <c r="F2953" s="7" t="str">
        <f t="shared" si="702"/>
        <v>女</v>
      </c>
      <c r="G2953" s="7" t="s">
        <v>593</v>
      </c>
      <c r="H2953" s="8"/>
    </row>
    <row r="2954" ht="25" customHeight="1" spans="1:8">
      <c r="A2954" s="6">
        <v>2952</v>
      </c>
      <c r="B2954" s="7" t="str">
        <f t="shared" si="696"/>
        <v>212</v>
      </c>
      <c r="C2954" s="7" t="s">
        <v>2419</v>
      </c>
      <c r="D2954" s="7" t="s">
        <v>2306</v>
      </c>
      <c r="E2954" s="7" t="str">
        <f>"杨丹"</f>
        <v>杨丹</v>
      </c>
      <c r="F2954" s="7" t="str">
        <f t="shared" si="702"/>
        <v>女</v>
      </c>
      <c r="G2954" s="7" t="s">
        <v>2445</v>
      </c>
      <c r="H2954" s="8"/>
    </row>
    <row r="2955" ht="25" customHeight="1" spans="1:8">
      <c r="A2955" s="6">
        <v>2953</v>
      </c>
      <c r="B2955" s="7" t="str">
        <f t="shared" si="696"/>
        <v>212</v>
      </c>
      <c r="C2955" s="7" t="s">
        <v>2419</v>
      </c>
      <c r="D2955" s="7" t="s">
        <v>2306</v>
      </c>
      <c r="E2955" s="7" t="str">
        <f>"宋睿"</f>
        <v>宋睿</v>
      </c>
      <c r="F2955" s="7" t="str">
        <f t="shared" si="702"/>
        <v>女</v>
      </c>
      <c r="G2955" s="7" t="s">
        <v>2446</v>
      </c>
      <c r="H2955" s="8"/>
    </row>
    <row r="2956" ht="25" customHeight="1" spans="1:8">
      <c r="A2956" s="6">
        <v>2954</v>
      </c>
      <c r="B2956" s="7" t="str">
        <f t="shared" si="696"/>
        <v>212</v>
      </c>
      <c r="C2956" s="7" t="s">
        <v>2419</v>
      </c>
      <c r="D2956" s="7" t="s">
        <v>2306</v>
      </c>
      <c r="E2956" s="7" t="str">
        <f>"邱泉芊"</f>
        <v>邱泉芊</v>
      </c>
      <c r="F2956" s="7" t="str">
        <f t="shared" si="702"/>
        <v>女</v>
      </c>
      <c r="G2956" s="7" t="s">
        <v>2447</v>
      </c>
      <c r="H2956" s="8"/>
    </row>
    <row r="2957" ht="25" customHeight="1" spans="1:8">
      <c r="A2957" s="6">
        <v>2955</v>
      </c>
      <c r="B2957" s="7" t="str">
        <f t="shared" si="696"/>
        <v>212</v>
      </c>
      <c r="C2957" s="7" t="s">
        <v>2419</v>
      </c>
      <c r="D2957" s="7" t="s">
        <v>2306</v>
      </c>
      <c r="E2957" s="7" t="str">
        <f>"尹蔚然"</f>
        <v>尹蔚然</v>
      </c>
      <c r="F2957" s="7" t="str">
        <f t="shared" si="702"/>
        <v>女</v>
      </c>
      <c r="G2957" s="7" t="s">
        <v>2448</v>
      </c>
      <c r="H2957" s="8"/>
    </row>
    <row r="2958" ht="25" customHeight="1" spans="1:8">
      <c r="A2958" s="6">
        <v>2956</v>
      </c>
      <c r="B2958" s="7" t="str">
        <f t="shared" si="696"/>
        <v>212</v>
      </c>
      <c r="C2958" s="7" t="s">
        <v>2419</v>
      </c>
      <c r="D2958" s="7" t="s">
        <v>2306</v>
      </c>
      <c r="E2958" s="7" t="str">
        <f>"谭舒悦"</f>
        <v>谭舒悦</v>
      </c>
      <c r="F2958" s="7" t="str">
        <f t="shared" si="702"/>
        <v>女</v>
      </c>
      <c r="G2958" s="7" t="s">
        <v>2449</v>
      </c>
      <c r="H2958" s="8"/>
    </row>
    <row r="2959" ht="25" customHeight="1" spans="1:8">
      <c r="A2959" s="6">
        <v>2957</v>
      </c>
      <c r="B2959" s="7" t="str">
        <f t="shared" si="696"/>
        <v>212</v>
      </c>
      <c r="C2959" s="7" t="s">
        <v>2419</v>
      </c>
      <c r="D2959" s="7" t="s">
        <v>2306</v>
      </c>
      <c r="E2959" s="7" t="str">
        <f>"唐常平"</f>
        <v>唐常平</v>
      </c>
      <c r="F2959" s="7" t="str">
        <f t="shared" si="702"/>
        <v>女</v>
      </c>
      <c r="G2959" s="7" t="s">
        <v>1240</v>
      </c>
      <c r="H2959" s="8"/>
    </row>
    <row r="2960" ht="25" customHeight="1" spans="1:8">
      <c r="A2960" s="6">
        <v>2958</v>
      </c>
      <c r="B2960" s="7" t="str">
        <f t="shared" si="696"/>
        <v>212</v>
      </c>
      <c r="C2960" s="7" t="s">
        <v>2419</v>
      </c>
      <c r="D2960" s="7" t="s">
        <v>2306</v>
      </c>
      <c r="E2960" s="7" t="str">
        <f>"严旖希"</f>
        <v>严旖希</v>
      </c>
      <c r="F2960" s="7" t="str">
        <f t="shared" si="702"/>
        <v>女</v>
      </c>
      <c r="G2960" s="7" t="s">
        <v>2450</v>
      </c>
      <c r="H2960" s="8"/>
    </row>
    <row r="2961" ht="25" customHeight="1" spans="1:8">
      <c r="A2961" s="6">
        <v>2959</v>
      </c>
      <c r="B2961" s="7" t="str">
        <f t="shared" si="696"/>
        <v>212</v>
      </c>
      <c r="C2961" s="7" t="s">
        <v>2419</v>
      </c>
      <c r="D2961" s="7" t="s">
        <v>2306</v>
      </c>
      <c r="E2961" s="7" t="str">
        <f>"郭绍宝"</f>
        <v>郭绍宝</v>
      </c>
      <c r="F2961" s="7" t="str">
        <f t="shared" ref="F2961:F2963" si="703">"男"</f>
        <v>男</v>
      </c>
      <c r="G2961" s="7" t="s">
        <v>2451</v>
      </c>
      <c r="H2961" s="8"/>
    </row>
    <row r="2962" ht="25" customHeight="1" spans="1:8">
      <c r="A2962" s="6">
        <v>2960</v>
      </c>
      <c r="B2962" s="7" t="str">
        <f t="shared" si="696"/>
        <v>212</v>
      </c>
      <c r="C2962" s="7" t="s">
        <v>2419</v>
      </c>
      <c r="D2962" s="7" t="s">
        <v>2306</v>
      </c>
      <c r="E2962" s="7" t="str">
        <f>"李毓彬"</f>
        <v>李毓彬</v>
      </c>
      <c r="F2962" s="7" t="str">
        <f t="shared" si="703"/>
        <v>男</v>
      </c>
      <c r="G2962" s="7" t="s">
        <v>2452</v>
      </c>
      <c r="H2962" s="8"/>
    </row>
    <row r="2963" ht="25" customHeight="1" spans="1:8">
      <c r="A2963" s="6">
        <v>2961</v>
      </c>
      <c r="B2963" s="7" t="str">
        <f t="shared" si="696"/>
        <v>212</v>
      </c>
      <c r="C2963" s="7" t="s">
        <v>2419</v>
      </c>
      <c r="D2963" s="7" t="s">
        <v>2306</v>
      </c>
      <c r="E2963" s="7" t="str">
        <f>"丁超"</f>
        <v>丁超</v>
      </c>
      <c r="F2963" s="7" t="str">
        <f t="shared" si="703"/>
        <v>男</v>
      </c>
      <c r="G2963" s="7" t="s">
        <v>2453</v>
      </c>
      <c r="H2963" s="8"/>
    </row>
    <row r="2964" ht="25" customHeight="1" spans="1:8">
      <c r="A2964" s="6">
        <v>2962</v>
      </c>
      <c r="B2964" s="7" t="str">
        <f t="shared" si="696"/>
        <v>212</v>
      </c>
      <c r="C2964" s="7" t="s">
        <v>2419</v>
      </c>
      <c r="D2964" s="7" t="s">
        <v>2306</v>
      </c>
      <c r="E2964" s="7" t="str">
        <f>"罗绮"</f>
        <v>罗绮</v>
      </c>
      <c r="F2964" s="7" t="str">
        <f t="shared" ref="F2964:F2967" si="704">"女"</f>
        <v>女</v>
      </c>
      <c r="G2964" s="7" t="s">
        <v>2427</v>
      </c>
      <c r="H2964" s="8"/>
    </row>
    <row r="2965" ht="25" customHeight="1" spans="1:8">
      <c r="A2965" s="6">
        <v>2963</v>
      </c>
      <c r="B2965" s="7" t="str">
        <f t="shared" si="696"/>
        <v>212</v>
      </c>
      <c r="C2965" s="7" t="s">
        <v>2419</v>
      </c>
      <c r="D2965" s="7" t="s">
        <v>2306</v>
      </c>
      <c r="E2965" s="7" t="str">
        <f>"薛道发"</f>
        <v>薛道发</v>
      </c>
      <c r="F2965" s="7" t="str">
        <f>"男"</f>
        <v>男</v>
      </c>
      <c r="G2965" s="7" t="s">
        <v>791</v>
      </c>
      <c r="H2965" s="8"/>
    </row>
    <row r="2966" ht="25" customHeight="1" spans="1:8">
      <c r="A2966" s="6">
        <v>2964</v>
      </c>
      <c r="B2966" s="7" t="str">
        <f t="shared" si="696"/>
        <v>212</v>
      </c>
      <c r="C2966" s="7" t="s">
        <v>2419</v>
      </c>
      <c r="D2966" s="7" t="s">
        <v>2306</v>
      </c>
      <c r="E2966" s="7" t="str">
        <f>"关天一"</f>
        <v>关天一</v>
      </c>
      <c r="F2966" s="7" t="str">
        <f t="shared" si="704"/>
        <v>女</v>
      </c>
      <c r="G2966" s="7" t="s">
        <v>2454</v>
      </c>
      <c r="H2966" s="8"/>
    </row>
    <row r="2967" ht="25" customHeight="1" spans="1:8">
      <c r="A2967" s="6">
        <v>2965</v>
      </c>
      <c r="B2967" s="7" t="str">
        <f t="shared" si="696"/>
        <v>212</v>
      </c>
      <c r="C2967" s="7" t="s">
        <v>2419</v>
      </c>
      <c r="D2967" s="7" t="s">
        <v>2306</v>
      </c>
      <c r="E2967" s="7" t="str">
        <f>"赵姣"</f>
        <v>赵姣</v>
      </c>
      <c r="F2967" s="7" t="str">
        <f t="shared" si="704"/>
        <v>女</v>
      </c>
      <c r="G2967" s="7" t="s">
        <v>2455</v>
      </c>
      <c r="H2967" s="8"/>
    </row>
    <row r="2968" ht="25" customHeight="1" spans="1:8">
      <c r="A2968" s="6">
        <v>2966</v>
      </c>
      <c r="B2968" s="7" t="str">
        <f t="shared" si="696"/>
        <v>212</v>
      </c>
      <c r="C2968" s="7" t="s">
        <v>2419</v>
      </c>
      <c r="D2968" s="7" t="s">
        <v>2306</v>
      </c>
      <c r="E2968" s="7" t="str">
        <f>"黎多运"</f>
        <v>黎多运</v>
      </c>
      <c r="F2968" s="7" t="str">
        <f>"男"</f>
        <v>男</v>
      </c>
      <c r="G2968" s="7" t="s">
        <v>2456</v>
      </c>
      <c r="H2968" s="8"/>
    </row>
    <row r="2969" ht="25" customHeight="1" spans="1:8">
      <c r="A2969" s="6">
        <v>2967</v>
      </c>
      <c r="B2969" s="7" t="str">
        <f t="shared" si="696"/>
        <v>212</v>
      </c>
      <c r="C2969" s="7" t="s">
        <v>2419</v>
      </c>
      <c r="D2969" s="7" t="s">
        <v>2306</v>
      </c>
      <c r="E2969" s="7" t="str">
        <f>"张慧恩"</f>
        <v>张慧恩</v>
      </c>
      <c r="F2969" s="7" t="str">
        <f t="shared" ref="F2969:F2971" si="705">"女"</f>
        <v>女</v>
      </c>
      <c r="G2969" s="7" t="s">
        <v>2457</v>
      </c>
      <c r="H2969" s="8"/>
    </row>
    <row r="2970" ht="25" customHeight="1" spans="1:8">
      <c r="A2970" s="6">
        <v>2968</v>
      </c>
      <c r="B2970" s="7" t="str">
        <f t="shared" si="696"/>
        <v>212</v>
      </c>
      <c r="C2970" s="7" t="s">
        <v>2419</v>
      </c>
      <c r="D2970" s="7" t="s">
        <v>2306</v>
      </c>
      <c r="E2970" s="7" t="str">
        <f>"王晶"</f>
        <v>王晶</v>
      </c>
      <c r="F2970" s="7" t="str">
        <f t="shared" si="705"/>
        <v>女</v>
      </c>
      <c r="G2970" s="7" t="s">
        <v>2458</v>
      </c>
      <c r="H2970" s="8"/>
    </row>
    <row r="2971" ht="25" customHeight="1" spans="1:8">
      <c r="A2971" s="6">
        <v>2969</v>
      </c>
      <c r="B2971" s="7" t="str">
        <f t="shared" si="696"/>
        <v>212</v>
      </c>
      <c r="C2971" s="7" t="s">
        <v>2419</v>
      </c>
      <c r="D2971" s="7" t="s">
        <v>2306</v>
      </c>
      <c r="E2971" s="7" t="str">
        <f>"林莹萍"</f>
        <v>林莹萍</v>
      </c>
      <c r="F2971" s="7" t="str">
        <f t="shared" si="705"/>
        <v>女</v>
      </c>
      <c r="G2971" s="7" t="s">
        <v>2459</v>
      </c>
      <c r="H2971" s="8"/>
    </row>
    <row r="2972" ht="25" customHeight="1" spans="1:8">
      <c r="A2972" s="6">
        <v>2970</v>
      </c>
      <c r="B2972" s="7" t="str">
        <f t="shared" si="696"/>
        <v>212</v>
      </c>
      <c r="C2972" s="7" t="s">
        <v>2419</v>
      </c>
      <c r="D2972" s="7" t="s">
        <v>2306</v>
      </c>
      <c r="E2972" s="7" t="str">
        <f>"田嗣万"</f>
        <v>田嗣万</v>
      </c>
      <c r="F2972" s="7" t="str">
        <f>"男"</f>
        <v>男</v>
      </c>
      <c r="G2972" s="7" t="s">
        <v>2460</v>
      </c>
      <c r="H2972" s="8"/>
    </row>
    <row r="2973" ht="25" customHeight="1" spans="1:8">
      <c r="A2973" s="6">
        <v>2971</v>
      </c>
      <c r="B2973" s="7" t="str">
        <f t="shared" si="696"/>
        <v>212</v>
      </c>
      <c r="C2973" s="7" t="s">
        <v>2419</v>
      </c>
      <c r="D2973" s="7" t="s">
        <v>2306</v>
      </c>
      <c r="E2973" s="7" t="str">
        <f>"骆紫娴"</f>
        <v>骆紫娴</v>
      </c>
      <c r="F2973" s="7" t="str">
        <f t="shared" ref="F2973:F2976" si="706">"女"</f>
        <v>女</v>
      </c>
      <c r="G2973" s="7" t="s">
        <v>2461</v>
      </c>
      <c r="H2973" s="8"/>
    </row>
    <row r="2974" ht="25" customHeight="1" spans="1:8">
      <c r="A2974" s="6">
        <v>2972</v>
      </c>
      <c r="B2974" s="7" t="str">
        <f t="shared" si="696"/>
        <v>212</v>
      </c>
      <c r="C2974" s="7" t="s">
        <v>2419</v>
      </c>
      <c r="D2974" s="7" t="s">
        <v>2306</v>
      </c>
      <c r="E2974" s="7" t="str">
        <f>"代旭"</f>
        <v>代旭</v>
      </c>
      <c r="F2974" s="7" t="str">
        <f t="shared" si="706"/>
        <v>女</v>
      </c>
      <c r="G2974" s="7" t="s">
        <v>2462</v>
      </c>
      <c r="H2974" s="8"/>
    </row>
    <row r="2975" ht="25" customHeight="1" spans="1:8">
      <c r="A2975" s="6">
        <v>2973</v>
      </c>
      <c r="B2975" s="7" t="str">
        <f t="shared" si="696"/>
        <v>212</v>
      </c>
      <c r="C2975" s="7" t="s">
        <v>2419</v>
      </c>
      <c r="D2975" s="7" t="s">
        <v>2306</v>
      </c>
      <c r="E2975" s="7" t="str">
        <f>"王堂银"</f>
        <v>王堂银</v>
      </c>
      <c r="F2975" s="7" t="str">
        <f t="shared" si="706"/>
        <v>女</v>
      </c>
      <c r="G2975" s="7" t="s">
        <v>2463</v>
      </c>
      <c r="H2975" s="8"/>
    </row>
    <row r="2976" ht="25" customHeight="1" spans="1:8">
      <c r="A2976" s="6">
        <v>2974</v>
      </c>
      <c r="B2976" s="7" t="str">
        <f t="shared" si="696"/>
        <v>212</v>
      </c>
      <c r="C2976" s="7" t="s">
        <v>2419</v>
      </c>
      <c r="D2976" s="7" t="s">
        <v>2306</v>
      </c>
      <c r="E2976" s="7" t="str">
        <f>"王晶玲"</f>
        <v>王晶玲</v>
      </c>
      <c r="F2976" s="7" t="str">
        <f t="shared" si="706"/>
        <v>女</v>
      </c>
      <c r="G2976" s="7" t="s">
        <v>2464</v>
      </c>
      <c r="H2976" s="8"/>
    </row>
    <row r="2977" ht="25" customHeight="1" spans="1:8">
      <c r="A2977" s="6">
        <v>2975</v>
      </c>
      <c r="B2977" s="7" t="str">
        <f t="shared" si="696"/>
        <v>212</v>
      </c>
      <c r="C2977" s="7" t="s">
        <v>2419</v>
      </c>
      <c r="D2977" s="7" t="s">
        <v>2306</v>
      </c>
      <c r="E2977" s="7" t="str">
        <f>"薛明恩"</f>
        <v>薛明恩</v>
      </c>
      <c r="F2977" s="7" t="str">
        <f>"男"</f>
        <v>男</v>
      </c>
      <c r="G2977" s="7" t="s">
        <v>2465</v>
      </c>
      <c r="H2977" s="8"/>
    </row>
    <row r="2978" ht="25" customHeight="1" spans="1:8">
      <c r="A2978" s="6">
        <v>2976</v>
      </c>
      <c r="B2978" s="7" t="str">
        <f t="shared" si="696"/>
        <v>212</v>
      </c>
      <c r="C2978" s="7" t="s">
        <v>2419</v>
      </c>
      <c r="D2978" s="7" t="s">
        <v>2306</v>
      </c>
      <c r="E2978" s="7" t="str">
        <f>"李铭洋"</f>
        <v>李铭洋</v>
      </c>
      <c r="F2978" s="7" t="str">
        <f t="shared" ref="F2978:F2983" si="707">"女"</f>
        <v>女</v>
      </c>
      <c r="G2978" s="7" t="s">
        <v>2466</v>
      </c>
      <c r="H2978" s="8"/>
    </row>
    <row r="2979" ht="25" customHeight="1" spans="1:8">
      <c r="A2979" s="6">
        <v>2977</v>
      </c>
      <c r="B2979" s="7" t="str">
        <f t="shared" si="696"/>
        <v>212</v>
      </c>
      <c r="C2979" s="7" t="s">
        <v>2419</v>
      </c>
      <c r="D2979" s="7" t="s">
        <v>2306</v>
      </c>
      <c r="E2979" s="7" t="str">
        <f>"赵丹"</f>
        <v>赵丹</v>
      </c>
      <c r="F2979" s="7" t="str">
        <f t="shared" si="707"/>
        <v>女</v>
      </c>
      <c r="G2979" s="7" t="s">
        <v>2467</v>
      </c>
      <c r="H2979" s="8"/>
    </row>
    <row r="2980" ht="25" customHeight="1" spans="1:8">
      <c r="A2980" s="6">
        <v>2978</v>
      </c>
      <c r="B2980" s="7" t="str">
        <f t="shared" ref="B2980:B3043" si="708">"213"</f>
        <v>213</v>
      </c>
      <c r="C2980" s="7" t="s">
        <v>2468</v>
      </c>
      <c r="D2980" s="7" t="s">
        <v>2306</v>
      </c>
      <c r="E2980" s="7" t="str">
        <f>"李雨璇"</f>
        <v>李雨璇</v>
      </c>
      <c r="F2980" s="7" t="str">
        <f t="shared" si="707"/>
        <v>女</v>
      </c>
      <c r="G2980" s="7" t="s">
        <v>326</v>
      </c>
      <c r="H2980" s="8"/>
    </row>
    <row r="2981" ht="25" customHeight="1" spans="1:8">
      <c r="A2981" s="6">
        <v>2979</v>
      </c>
      <c r="B2981" s="7" t="str">
        <f t="shared" si="708"/>
        <v>213</v>
      </c>
      <c r="C2981" s="7" t="s">
        <v>2468</v>
      </c>
      <c r="D2981" s="7" t="s">
        <v>2306</v>
      </c>
      <c r="E2981" s="7" t="str">
        <f>"唐怡"</f>
        <v>唐怡</v>
      </c>
      <c r="F2981" s="7" t="str">
        <f t="shared" si="707"/>
        <v>女</v>
      </c>
      <c r="G2981" s="7" t="s">
        <v>2469</v>
      </c>
      <c r="H2981" s="8"/>
    </row>
    <row r="2982" ht="25" customHeight="1" spans="1:8">
      <c r="A2982" s="6">
        <v>2980</v>
      </c>
      <c r="B2982" s="7" t="str">
        <f t="shared" si="708"/>
        <v>213</v>
      </c>
      <c r="C2982" s="7" t="s">
        <v>2468</v>
      </c>
      <c r="D2982" s="7" t="s">
        <v>2306</v>
      </c>
      <c r="E2982" s="7" t="str">
        <f>"吉婧"</f>
        <v>吉婧</v>
      </c>
      <c r="F2982" s="7" t="str">
        <f t="shared" si="707"/>
        <v>女</v>
      </c>
      <c r="G2982" s="7" t="s">
        <v>1331</v>
      </c>
      <c r="H2982" s="8"/>
    </row>
    <row r="2983" ht="25" customHeight="1" spans="1:8">
      <c r="A2983" s="6">
        <v>2981</v>
      </c>
      <c r="B2983" s="7" t="str">
        <f t="shared" si="708"/>
        <v>213</v>
      </c>
      <c r="C2983" s="7" t="s">
        <v>2468</v>
      </c>
      <c r="D2983" s="7" t="s">
        <v>2306</v>
      </c>
      <c r="E2983" s="7" t="str">
        <f>"王丛榕"</f>
        <v>王丛榕</v>
      </c>
      <c r="F2983" s="7" t="str">
        <f t="shared" si="707"/>
        <v>女</v>
      </c>
      <c r="G2983" s="7" t="s">
        <v>2470</v>
      </c>
      <c r="H2983" s="8"/>
    </row>
    <row r="2984" ht="25" customHeight="1" spans="1:8">
      <c r="A2984" s="6">
        <v>2982</v>
      </c>
      <c r="B2984" s="7" t="str">
        <f t="shared" si="708"/>
        <v>213</v>
      </c>
      <c r="C2984" s="7" t="s">
        <v>2468</v>
      </c>
      <c r="D2984" s="7" t="s">
        <v>2306</v>
      </c>
      <c r="E2984" s="7" t="str">
        <f>"王天乐"</f>
        <v>王天乐</v>
      </c>
      <c r="F2984" s="7" t="str">
        <f>"男"</f>
        <v>男</v>
      </c>
      <c r="G2984" s="7" t="s">
        <v>2471</v>
      </c>
      <c r="H2984" s="8"/>
    </row>
    <row r="2985" ht="25" customHeight="1" spans="1:8">
      <c r="A2985" s="6">
        <v>2983</v>
      </c>
      <c r="B2985" s="7" t="str">
        <f t="shared" si="708"/>
        <v>213</v>
      </c>
      <c r="C2985" s="7" t="s">
        <v>2468</v>
      </c>
      <c r="D2985" s="7" t="s">
        <v>2306</v>
      </c>
      <c r="E2985" s="7" t="str">
        <f>"王丽霞"</f>
        <v>王丽霞</v>
      </c>
      <c r="F2985" s="7" t="str">
        <f t="shared" ref="F2985:F3003" si="709">"女"</f>
        <v>女</v>
      </c>
      <c r="G2985" s="7" t="s">
        <v>2472</v>
      </c>
      <c r="H2985" s="8"/>
    </row>
    <row r="2986" ht="25" customHeight="1" spans="1:8">
      <c r="A2986" s="6">
        <v>2984</v>
      </c>
      <c r="B2986" s="7" t="str">
        <f t="shared" si="708"/>
        <v>213</v>
      </c>
      <c r="C2986" s="7" t="s">
        <v>2468</v>
      </c>
      <c r="D2986" s="7" t="s">
        <v>2306</v>
      </c>
      <c r="E2986" s="7" t="str">
        <f>"任飞扬"</f>
        <v>任飞扬</v>
      </c>
      <c r="F2986" s="7" t="str">
        <f>"男"</f>
        <v>男</v>
      </c>
      <c r="G2986" s="7" t="s">
        <v>2473</v>
      </c>
      <c r="H2986" s="8"/>
    </row>
    <row r="2987" ht="25" customHeight="1" spans="1:8">
      <c r="A2987" s="6">
        <v>2985</v>
      </c>
      <c r="B2987" s="7" t="str">
        <f t="shared" si="708"/>
        <v>213</v>
      </c>
      <c r="C2987" s="7" t="s">
        <v>2468</v>
      </c>
      <c r="D2987" s="7" t="s">
        <v>2306</v>
      </c>
      <c r="E2987" s="7" t="str">
        <f>"吴静"</f>
        <v>吴静</v>
      </c>
      <c r="F2987" s="7" t="str">
        <f t="shared" si="709"/>
        <v>女</v>
      </c>
      <c r="G2987" s="7" t="s">
        <v>2474</v>
      </c>
      <c r="H2987" s="8"/>
    </row>
    <row r="2988" ht="25" customHeight="1" spans="1:8">
      <c r="A2988" s="6">
        <v>2986</v>
      </c>
      <c r="B2988" s="7" t="str">
        <f t="shared" si="708"/>
        <v>213</v>
      </c>
      <c r="C2988" s="7" t="s">
        <v>2468</v>
      </c>
      <c r="D2988" s="7" t="s">
        <v>2306</v>
      </c>
      <c r="E2988" s="7" t="str">
        <f>"杨丹"</f>
        <v>杨丹</v>
      </c>
      <c r="F2988" s="7" t="str">
        <f t="shared" si="709"/>
        <v>女</v>
      </c>
      <c r="G2988" s="7" t="s">
        <v>2475</v>
      </c>
      <c r="H2988" s="8"/>
    </row>
    <row r="2989" ht="25" customHeight="1" spans="1:8">
      <c r="A2989" s="6">
        <v>2987</v>
      </c>
      <c r="B2989" s="7" t="str">
        <f t="shared" si="708"/>
        <v>213</v>
      </c>
      <c r="C2989" s="7" t="s">
        <v>2468</v>
      </c>
      <c r="D2989" s="7" t="s">
        <v>2306</v>
      </c>
      <c r="E2989" s="7" t="str">
        <f>"邹林桦"</f>
        <v>邹林桦</v>
      </c>
      <c r="F2989" s="7" t="str">
        <f t="shared" si="709"/>
        <v>女</v>
      </c>
      <c r="G2989" s="7" t="s">
        <v>2476</v>
      </c>
      <c r="H2989" s="8"/>
    </row>
    <row r="2990" ht="25" customHeight="1" spans="1:8">
      <c r="A2990" s="6">
        <v>2988</v>
      </c>
      <c r="B2990" s="7" t="str">
        <f t="shared" si="708"/>
        <v>213</v>
      </c>
      <c r="C2990" s="7" t="s">
        <v>2468</v>
      </c>
      <c r="D2990" s="7" t="s">
        <v>2306</v>
      </c>
      <c r="E2990" s="7" t="str">
        <f>"黄慧玲"</f>
        <v>黄慧玲</v>
      </c>
      <c r="F2990" s="7" t="str">
        <f t="shared" si="709"/>
        <v>女</v>
      </c>
      <c r="G2990" s="7" t="s">
        <v>2477</v>
      </c>
      <c r="H2990" s="8"/>
    </row>
    <row r="2991" ht="25" customHeight="1" spans="1:8">
      <c r="A2991" s="6">
        <v>2989</v>
      </c>
      <c r="B2991" s="7" t="str">
        <f t="shared" si="708"/>
        <v>213</v>
      </c>
      <c r="C2991" s="7" t="s">
        <v>2468</v>
      </c>
      <c r="D2991" s="7" t="s">
        <v>2306</v>
      </c>
      <c r="E2991" s="7" t="str">
        <f>"张毓"</f>
        <v>张毓</v>
      </c>
      <c r="F2991" s="7" t="str">
        <f t="shared" si="709"/>
        <v>女</v>
      </c>
      <c r="G2991" s="7" t="s">
        <v>2478</v>
      </c>
      <c r="H2991" s="8"/>
    </row>
    <row r="2992" ht="25" customHeight="1" spans="1:8">
      <c r="A2992" s="6">
        <v>2990</v>
      </c>
      <c r="B2992" s="7" t="str">
        <f t="shared" si="708"/>
        <v>213</v>
      </c>
      <c r="C2992" s="7" t="s">
        <v>2468</v>
      </c>
      <c r="D2992" s="7" t="s">
        <v>2306</v>
      </c>
      <c r="E2992" s="7" t="str">
        <f>"黄雅铃"</f>
        <v>黄雅铃</v>
      </c>
      <c r="F2992" s="7" t="str">
        <f t="shared" si="709"/>
        <v>女</v>
      </c>
      <c r="G2992" s="7" t="s">
        <v>2479</v>
      </c>
      <c r="H2992" s="8"/>
    </row>
    <row r="2993" ht="25" customHeight="1" spans="1:8">
      <c r="A2993" s="6">
        <v>2991</v>
      </c>
      <c r="B2993" s="7" t="str">
        <f t="shared" si="708"/>
        <v>213</v>
      </c>
      <c r="C2993" s="7" t="s">
        <v>2468</v>
      </c>
      <c r="D2993" s="7" t="s">
        <v>2306</v>
      </c>
      <c r="E2993" s="7" t="str">
        <f>"黄孝春"</f>
        <v>黄孝春</v>
      </c>
      <c r="F2993" s="7" t="str">
        <f t="shared" si="709"/>
        <v>女</v>
      </c>
      <c r="G2993" s="7" t="s">
        <v>2480</v>
      </c>
      <c r="H2993" s="8"/>
    </row>
    <row r="2994" ht="25" customHeight="1" spans="1:8">
      <c r="A2994" s="6">
        <v>2992</v>
      </c>
      <c r="B2994" s="7" t="str">
        <f t="shared" si="708"/>
        <v>213</v>
      </c>
      <c r="C2994" s="7" t="s">
        <v>2468</v>
      </c>
      <c r="D2994" s="7" t="s">
        <v>2306</v>
      </c>
      <c r="E2994" s="7" t="str">
        <f>"盛雨薇"</f>
        <v>盛雨薇</v>
      </c>
      <c r="F2994" s="7" t="str">
        <f t="shared" si="709"/>
        <v>女</v>
      </c>
      <c r="G2994" s="7" t="s">
        <v>2481</v>
      </c>
      <c r="H2994" s="8"/>
    </row>
    <row r="2995" ht="25" customHeight="1" spans="1:8">
      <c r="A2995" s="6">
        <v>2993</v>
      </c>
      <c r="B2995" s="7" t="str">
        <f t="shared" si="708"/>
        <v>213</v>
      </c>
      <c r="C2995" s="7" t="s">
        <v>2468</v>
      </c>
      <c r="D2995" s="7" t="s">
        <v>2306</v>
      </c>
      <c r="E2995" s="7" t="str">
        <f>"涂志程"</f>
        <v>涂志程</v>
      </c>
      <c r="F2995" s="7" t="str">
        <f t="shared" si="709"/>
        <v>女</v>
      </c>
      <c r="G2995" s="7" t="s">
        <v>1490</v>
      </c>
      <c r="H2995" s="8"/>
    </row>
    <row r="2996" ht="25" customHeight="1" spans="1:8">
      <c r="A2996" s="6">
        <v>2994</v>
      </c>
      <c r="B2996" s="7" t="str">
        <f t="shared" si="708"/>
        <v>213</v>
      </c>
      <c r="C2996" s="7" t="s">
        <v>2468</v>
      </c>
      <c r="D2996" s="7" t="s">
        <v>2306</v>
      </c>
      <c r="E2996" s="7" t="str">
        <f>"刘俐彤"</f>
        <v>刘俐彤</v>
      </c>
      <c r="F2996" s="7" t="str">
        <f t="shared" si="709"/>
        <v>女</v>
      </c>
      <c r="G2996" s="7" t="s">
        <v>2482</v>
      </c>
      <c r="H2996" s="8"/>
    </row>
    <row r="2997" ht="25" customHeight="1" spans="1:8">
      <c r="A2997" s="6">
        <v>2995</v>
      </c>
      <c r="B2997" s="7" t="str">
        <f t="shared" si="708"/>
        <v>213</v>
      </c>
      <c r="C2997" s="7" t="s">
        <v>2468</v>
      </c>
      <c r="D2997" s="7" t="s">
        <v>2306</v>
      </c>
      <c r="E2997" s="7" t="str">
        <f>"何华春"</f>
        <v>何华春</v>
      </c>
      <c r="F2997" s="7" t="str">
        <f t="shared" si="709"/>
        <v>女</v>
      </c>
      <c r="G2997" s="7" t="s">
        <v>2483</v>
      </c>
      <c r="H2997" s="8"/>
    </row>
    <row r="2998" ht="25" customHeight="1" spans="1:8">
      <c r="A2998" s="6">
        <v>2996</v>
      </c>
      <c r="B2998" s="7" t="str">
        <f t="shared" si="708"/>
        <v>213</v>
      </c>
      <c r="C2998" s="7" t="s">
        <v>2468</v>
      </c>
      <c r="D2998" s="7" t="s">
        <v>2306</v>
      </c>
      <c r="E2998" s="7" t="str">
        <f>"纪平"</f>
        <v>纪平</v>
      </c>
      <c r="F2998" s="7" t="str">
        <f t="shared" si="709"/>
        <v>女</v>
      </c>
      <c r="G2998" s="7" t="s">
        <v>2484</v>
      </c>
      <c r="H2998" s="8"/>
    </row>
    <row r="2999" ht="25" customHeight="1" spans="1:8">
      <c r="A2999" s="6">
        <v>2997</v>
      </c>
      <c r="B2999" s="7" t="str">
        <f t="shared" si="708"/>
        <v>213</v>
      </c>
      <c r="C2999" s="7" t="s">
        <v>2468</v>
      </c>
      <c r="D2999" s="7" t="s">
        <v>2306</v>
      </c>
      <c r="E2999" s="7" t="str">
        <f>"李海玲"</f>
        <v>李海玲</v>
      </c>
      <c r="F2999" s="7" t="str">
        <f t="shared" si="709"/>
        <v>女</v>
      </c>
      <c r="G2999" s="7" t="s">
        <v>2485</v>
      </c>
      <c r="H2999" s="8"/>
    </row>
    <row r="3000" ht="25" customHeight="1" spans="1:8">
      <c r="A3000" s="6">
        <v>2998</v>
      </c>
      <c r="B3000" s="7" t="str">
        <f t="shared" si="708"/>
        <v>213</v>
      </c>
      <c r="C3000" s="7" t="s">
        <v>2468</v>
      </c>
      <c r="D3000" s="7" t="s">
        <v>2306</v>
      </c>
      <c r="E3000" s="7" t="str">
        <f>"初琳"</f>
        <v>初琳</v>
      </c>
      <c r="F3000" s="7" t="str">
        <f t="shared" si="709"/>
        <v>女</v>
      </c>
      <c r="G3000" s="7" t="s">
        <v>2486</v>
      </c>
      <c r="H3000" s="8"/>
    </row>
    <row r="3001" ht="25" customHeight="1" spans="1:8">
      <c r="A3001" s="6">
        <v>2999</v>
      </c>
      <c r="B3001" s="7" t="str">
        <f t="shared" si="708"/>
        <v>213</v>
      </c>
      <c r="C3001" s="7" t="s">
        <v>2468</v>
      </c>
      <c r="D3001" s="7" t="s">
        <v>2306</v>
      </c>
      <c r="E3001" s="7" t="str">
        <f>"高善冬"</f>
        <v>高善冬</v>
      </c>
      <c r="F3001" s="7" t="str">
        <f t="shared" si="709"/>
        <v>女</v>
      </c>
      <c r="G3001" s="7" t="s">
        <v>2487</v>
      </c>
      <c r="H3001" s="8"/>
    </row>
    <row r="3002" ht="25" customHeight="1" spans="1:8">
      <c r="A3002" s="6">
        <v>3000</v>
      </c>
      <c r="B3002" s="7" t="str">
        <f t="shared" si="708"/>
        <v>213</v>
      </c>
      <c r="C3002" s="7" t="s">
        <v>2468</v>
      </c>
      <c r="D3002" s="7" t="s">
        <v>2306</v>
      </c>
      <c r="E3002" s="7" t="str">
        <f>"陈祺慧"</f>
        <v>陈祺慧</v>
      </c>
      <c r="F3002" s="7" t="str">
        <f t="shared" si="709"/>
        <v>女</v>
      </c>
      <c r="G3002" s="7" t="s">
        <v>472</v>
      </c>
      <c r="H3002" s="8"/>
    </row>
    <row r="3003" ht="25" customHeight="1" spans="1:8">
      <c r="A3003" s="6">
        <v>3001</v>
      </c>
      <c r="B3003" s="7" t="str">
        <f t="shared" si="708"/>
        <v>213</v>
      </c>
      <c r="C3003" s="7" t="s">
        <v>2468</v>
      </c>
      <c r="D3003" s="7" t="s">
        <v>2306</v>
      </c>
      <c r="E3003" s="7" t="str">
        <f>"温文静"</f>
        <v>温文静</v>
      </c>
      <c r="F3003" s="7" t="str">
        <f t="shared" si="709"/>
        <v>女</v>
      </c>
      <c r="G3003" s="7" t="s">
        <v>763</v>
      </c>
      <c r="H3003" s="8"/>
    </row>
    <row r="3004" ht="25" customHeight="1" spans="1:8">
      <c r="A3004" s="6">
        <v>3002</v>
      </c>
      <c r="B3004" s="7" t="str">
        <f t="shared" si="708"/>
        <v>213</v>
      </c>
      <c r="C3004" s="7" t="s">
        <v>2468</v>
      </c>
      <c r="D3004" s="7" t="s">
        <v>2306</v>
      </c>
      <c r="E3004" s="7" t="str">
        <f>"石小弟"</f>
        <v>石小弟</v>
      </c>
      <c r="F3004" s="7" t="str">
        <f>"男"</f>
        <v>男</v>
      </c>
      <c r="G3004" s="7" t="s">
        <v>2488</v>
      </c>
      <c r="H3004" s="8"/>
    </row>
    <row r="3005" ht="25" customHeight="1" spans="1:8">
      <c r="A3005" s="6">
        <v>3003</v>
      </c>
      <c r="B3005" s="7" t="str">
        <f t="shared" si="708"/>
        <v>213</v>
      </c>
      <c r="C3005" s="7" t="s">
        <v>2468</v>
      </c>
      <c r="D3005" s="7" t="s">
        <v>2306</v>
      </c>
      <c r="E3005" s="7" t="str">
        <f>"朱芳颖"</f>
        <v>朱芳颖</v>
      </c>
      <c r="F3005" s="7" t="str">
        <f t="shared" ref="F3005:F3009" si="710">"女"</f>
        <v>女</v>
      </c>
      <c r="G3005" s="7" t="s">
        <v>248</v>
      </c>
      <c r="H3005" s="8"/>
    </row>
    <row r="3006" ht="25" customHeight="1" spans="1:8">
      <c r="A3006" s="6">
        <v>3004</v>
      </c>
      <c r="B3006" s="7" t="str">
        <f t="shared" si="708"/>
        <v>213</v>
      </c>
      <c r="C3006" s="7" t="s">
        <v>2468</v>
      </c>
      <c r="D3006" s="7" t="s">
        <v>2306</v>
      </c>
      <c r="E3006" s="7" t="str">
        <f>"刘敏芳"</f>
        <v>刘敏芳</v>
      </c>
      <c r="F3006" s="7" t="str">
        <f t="shared" si="710"/>
        <v>女</v>
      </c>
      <c r="G3006" s="7" t="s">
        <v>2489</v>
      </c>
      <c r="H3006" s="8"/>
    </row>
    <row r="3007" ht="25" customHeight="1" spans="1:8">
      <c r="A3007" s="6">
        <v>3005</v>
      </c>
      <c r="B3007" s="7" t="str">
        <f t="shared" si="708"/>
        <v>213</v>
      </c>
      <c r="C3007" s="7" t="s">
        <v>2468</v>
      </c>
      <c r="D3007" s="7" t="s">
        <v>2306</v>
      </c>
      <c r="E3007" s="7" t="str">
        <f>"林雪纯"</f>
        <v>林雪纯</v>
      </c>
      <c r="F3007" s="7" t="str">
        <f t="shared" si="710"/>
        <v>女</v>
      </c>
      <c r="G3007" s="7" t="s">
        <v>2490</v>
      </c>
      <c r="H3007" s="8"/>
    </row>
    <row r="3008" ht="25" customHeight="1" spans="1:8">
      <c r="A3008" s="6">
        <v>3006</v>
      </c>
      <c r="B3008" s="7" t="str">
        <f t="shared" si="708"/>
        <v>213</v>
      </c>
      <c r="C3008" s="7" t="s">
        <v>2468</v>
      </c>
      <c r="D3008" s="7" t="s">
        <v>2306</v>
      </c>
      <c r="E3008" s="7" t="str">
        <f>"张鹤宁"</f>
        <v>张鹤宁</v>
      </c>
      <c r="F3008" s="7" t="str">
        <f t="shared" si="710"/>
        <v>女</v>
      </c>
      <c r="G3008" s="7" t="s">
        <v>2491</v>
      </c>
      <c r="H3008" s="8"/>
    </row>
    <row r="3009" ht="25" customHeight="1" spans="1:8">
      <c r="A3009" s="6">
        <v>3007</v>
      </c>
      <c r="B3009" s="7" t="str">
        <f t="shared" si="708"/>
        <v>213</v>
      </c>
      <c r="C3009" s="7" t="s">
        <v>2468</v>
      </c>
      <c r="D3009" s="7" t="s">
        <v>2306</v>
      </c>
      <c r="E3009" s="7" t="str">
        <f>"李春雨"</f>
        <v>李春雨</v>
      </c>
      <c r="F3009" s="7" t="str">
        <f t="shared" si="710"/>
        <v>女</v>
      </c>
      <c r="G3009" s="7" t="s">
        <v>378</v>
      </c>
      <c r="H3009" s="8"/>
    </row>
    <row r="3010" ht="25" customHeight="1" spans="1:8">
      <c r="A3010" s="6">
        <v>3008</v>
      </c>
      <c r="B3010" s="7" t="str">
        <f t="shared" si="708"/>
        <v>213</v>
      </c>
      <c r="C3010" s="7" t="s">
        <v>2468</v>
      </c>
      <c r="D3010" s="7" t="s">
        <v>2306</v>
      </c>
      <c r="E3010" s="7" t="str">
        <f>"黄昕"</f>
        <v>黄昕</v>
      </c>
      <c r="F3010" s="7" t="str">
        <f>"男"</f>
        <v>男</v>
      </c>
      <c r="G3010" s="7" t="s">
        <v>2492</v>
      </c>
      <c r="H3010" s="8"/>
    </row>
    <row r="3011" ht="25" customHeight="1" spans="1:8">
      <c r="A3011" s="6">
        <v>3009</v>
      </c>
      <c r="B3011" s="7" t="str">
        <f t="shared" si="708"/>
        <v>213</v>
      </c>
      <c r="C3011" s="7" t="s">
        <v>2468</v>
      </c>
      <c r="D3011" s="7" t="s">
        <v>2306</v>
      </c>
      <c r="E3011" s="7" t="str">
        <f>"陈家雄"</f>
        <v>陈家雄</v>
      </c>
      <c r="F3011" s="7" t="str">
        <f>"男"</f>
        <v>男</v>
      </c>
      <c r="G3011" s="7" t="s">
        <v>2493</v>
      </c>
      <c r="H3011" s="8"/>
    </row>
    <row r="3012" ht="25" customHeight="1" spans="1:8">
      <c r="A3012" s="6">
        <v>3010</v>
      </c>
      <c r="B3012" s="7" t="str">
        <f t="shared" si="708"/>
        <v>213</v>
      </c>
      <c r="C3012" s="7" t="s">
        <v>2468</v>
      </c>
      <c r="D3012" s="7" t="s">
        <v>2306</v>
      </c>
      <c r="E3012" s="7" t="str">
        <f>"陈晓茜"</f>
        <v>陈晓茜</v>
      </c>
      <c r="F3012" s="7" t="str">
        <f t="shared" ref="F3012:F3021" si="711">"女"</f>
        <v>女</v>
      </c>
      <c r="G3012" s="7" t="s">
        <v>621</v>
      </c>
      <c r="H3012" s="8"/>
    </row>
    <row r="3013" ht="25" customHeight="1" spans="1:8">
      <c r="A3013" s="6">
        <v>3011</v>
      </c>
      <c r="B3013" s="7" t="str">
        <f t="shared" si="708"/>
        <v>213</v>
      </c>
      <c r="C3013" s="7" t="s">
        <v>2468</v>
      </c>
      <c r="D3013" s="7" t="s">
        <v>2306</v>
      </c>
      <c r="E3013" s="7" t="str">
        <f>"李佳彦"</f>
        <v>李佳彦</v>
      </c>
      <c r="F3013" s="7" t="str">
        <f t="shared" si="711"/>
        <v>女</v>
      </c>
      <c r="G3013" s="7" t="s">
        <v>375</v>
      </c>
      <c r="H3013" s="8"/>
    </row>
    <row r="3014" ht="25" customHeight="1" spans="1:8">
      <c r="A3014" s="6">
        <v>3012</v>
      </c>
      <c r="B3014" s="7" t="str">
        <f t="shared" si="708"/>
        <v>213</v>
      </c>
      <c r="C3014" s="7" t="s">
        <v>2468</v>
      </c>
      <c r="D3014" s="7" t="s">
        <v>2306</v>
      </c>
      <c r="E3014" s="7" t="str">
        <f>"潘娅兰"</f>
        <v>潘娅兰</v>
      </c>
      <c r="F3014" s="7" t="str">
        <f t="shared" si="711"/>
        <v>女</v>
      </c>
      <c r="G3014" s="7" t="s">
        <v>2494</v>
      </c>
      <c r="H3014" s="8"/>
    </row>
    <row r="3015" ht="25" customHeight="1" spans="1:8">
      <c r="A3015" s="6">
        <v>3013</v>
      </c>
      <c r="B3015" s="7" t="str">
        <f t="shared" si="708"/>
        <v>213</v>
      </c>
      <c r="C3015" s="7" t="s">
        <v>2468</v>
      </c>
      <c r="D3015" s="7" t="s">
        <v>2306</v>
      </c>
      <c r="E3015" s="7" t="str">
        <f>"钱晨溪"</f>
        <v>钱晨溪</v>
      </c>
      <c r="F3015" s="7" t="str">
        <f t="shared" si="711"/>
        <v>女</v>
      </c>
      <c r="G3015" s="7" t="s">
        <v>2495</v>
      </c>
      <c r="H3015" s="8"/>
    </row>
    <row r="3016" ht="25" customHeight="1" spans="1:8">
      <c r="A3016" s="6">
        <v>3014</v>
      </c>
      <c r="B3016" s="7" t="str">
        <f t="shared" si="708"/>
        <v>213</v>
      </c>
      <c r="C3016" s="7" t="s">
        <v>2468</v>
      </c>
      <c r="D3016" s="7" t="s">
        <v>2306</v>
      </c>
      <c r="E3016" s="7" t="str">
        <f>"刘星妤"</f>
        <v>刘星妤</v>
      </c>
      <c r="F3016" s="7" t="str">
        <f t="shared" si="711"/>
        <v>女</v>
      </c>
      <c r="G3016" s="7" t="s">
        <v>2496</v>
      </c>
      <c r="H3016" s="8"/>
    </row>
    <row r="3017" ht="25" customHeight="1" spans="1:8">
      <c r="A3017" s="6">
        <v>3015</v>
      </c>
      <c r="B3017" s="7" t="str">
        <f t="shared" si="708"/>
        <v>213</v>
      </c>
      <c r="C3017" s="7" t="s">
        <v>2468</v>
      </c>
      <c r="D3017" s="7" t="s">
        <v>2306</v>
      </c>
      <c r="E3017" s="7" t="str">
        <f>"黄小漫"</f>
        <v>黄小漫</v>
      </c>
      <c r="F3017" s="7" t="str">
        <f t="shared" si="711"/>
        <v>女</v>
      </c>
      <c r="G3017" s="7" t="s">
        <v>2497</v>
      </c>
      <c r="H3017" s="8"/>
    </row>
    <row r="3018" ht="25" customHeight="1" spans="1:8">
      <c r="A3018" s="6">
        <v>3016</v>
      </c>
      <c r="B3018" s="7" t="str">
        <f t="shared" si="708"/>
        <v>213</v>
      </c>
      <c r="C3018" s="7" t="s">
        <v>2468</v>
      </c>
      <c r="D3018" s="7" t="s">
        <v>2306</v>
      </c>
      <c r="E3018" s="7" t="str">
        <f>"张晓淇"</f>
        <v>张晓淇</v>
      </c>
      <c r="F3018" s="7" t="str">
        <f t="shared" si="711"/>
        <v>女</v>
      </c>
      <c r="G3018" s="7" t="s">
        <v>2498</v>
      </c>
      <c r="H3018" s="8"/>
    </row>
    <row r="3019" ht="25" customHeight="1" spans="1:8">
      <c r="A3019" s="6">
        <v>3017</v>
      </c>
      <c r="B3019" s="7" t="str">
        <f t="shared" si="708"/>
        <v>213</v>
      </c>
      <c r="C3019" s="7" t="s">
        <v>2468</v>
      </c>
      <c r="D3019" s="7" t="s">
        <v>2306</v>
      </c>
      <c r="E3019" s="7" t="str">
        <f>"苏怡"</f>
        <v>苏怡</v>
      </c>
      <c r="F3019" s="7" t="str">
        <f t="shared" si="711"/>
        <v>女</v>
      </c>
      <c r="G3019" s="7" t="s">
        <v>2499</v>
      </c>
      <c r="H3019" s="8"/>
    </row>
    <row r="3020" ht="25" customHeight="1" spans="1:8">
      <c r="A3020" s="6">
        <v>3018</v>
      </c>
      <c r="B3020" s="7" t="str">
        <f t="shared" si="708"/>
        <v>213</v>
      </c>
      <c r="C3020" s="7" t="s">
        <v>2468</v>
      </c>
      <c r="D3020" s="7" t="s">
        <v>2306</v>
      </c>
      <c r="E3020" s="7" t="str">
        <f>"李鲜鲜"</f>
        <v>李鲜鲜</v>
      </c>
      <c r="F3020" s="7" t="str">
        <f t="shared" si="711"/>
        <v>女</v>
      </c>
      <c r="G3020" s="7" t="s">
        <v>2500</v>
      </c>
      <c r="H3020" s="8"/>
    </row>
    <row r="3021" ht="25" customHeight="1" spans="1:8">
      <c r="A3021" s="6">
        <v>3019</v>
      </c>
      <c r="B3021" s="7" t="str">
        <f t="shared" si="708"/>
        <v>213</v>
      </c>
      <c r="C3021" s="7" t="s">
        <v>2468</v>
      </c>
      <c r="D3021" s="7" t="s">
        <v>2306</v>
      </c>
      <c r="E3021" s="7" t="str">
        <f>"郑巧旋"</f>
        <v>郑巧旋</v>
      </c>
      <c r="F3021" s="7" t="str">
        <f t="shared" si="711"/>
        <v>女</v>
      </c>
      <c r="G3021" s="7" t="s">
        <v>2501</v>
      </c>
      <c r="H3021" s="8"/>
    </row>
    <row r="3022" ht="25" customHeight="1" spans="1:8">
      <c r="A3022" s="6">
        <v>3020</v>
      </c>
      <c r="B3022" s="7" t="str">
        <f t="shared" si="708"/>
        <v>213</v>
      </c>
      <c r="C3022" s="7" t="s">
        <v>2468</v>
      </c>
      <c r="D3022" s="7" t="s">
        <v>2306</v>
      </c>
      <c r="E3022" s="7" t="str">
        <f>"陈必博"</f>
        <v>陈必博</v>
      </c>
      <c r="F3022" s="7" t="str">
        <f>"男"</f>
        <v>男</v>
      </c>
      <c r="G3022" s="7" t="s">
        <v>2502</v>
      </c>
      <c r="H3022" s="8"/>
    </row>
    <row r="3023" ht="25" customHeight="1" spans="1:8">
      <c r="A3023" s="6">
        <v>3021</v>
      </c>
      <c r="B3023" s="7" t="str">
        <f t="shared" si="708"/>
        <v>213</v>
      </c>
      <c r="C3023" s="7" t="s">
        <v>2468</v>
      </c>
      <c r="D3023" s="7" t="s">
        <v>2306</v>
      </c>
      <c r="E3023" s="7" t="str">
        <f>"廖锦"</f>
        <v>廖锦</v>
      </c>
      <c r="F3023" s="7" t="str">
        <f t="shared" ref="F3023:F3043" si="712">"女"</f>
        <v>女</v>
      </c>
      <c r="G3023" s="7" t="s">
        <v>798</v>
      </c>
      <c r="H3023" s="8"/>
    </row>
    <row r="3024" ht="25" customHeight="1" spans="1:8">
      <c r="A3024" s="6">
        <v>3022</v>
      </c>
      <c r="B3024" s="7" t="str">
        <f t="shared" si="708"/>
        <v>213</v>
      </c>
      <c r="C3024" s="7" t="s">
        <v>2468</v>
      </c>
      <c r="D3024" s="7" t="s">
        <v>2306</v>
      </c>
      <c r="E3024" s="7" t="str">
        <f>"张暖暖"</f>
        <v>张暖暖</v>
      </c>
      <c r="F3024" s="7" t="str">
        <f t="shared" si="712"/>
        <v>女</v>
      </c>
      <c r="G3024" s="7" t="s">
        <v>2503</v>
      </c>
      <c r="H3024" s="8"/>
    </row>
    <row r="3025" ht="25" customHeight="1" spans="1:8">
      <c r="A3025" s="6">
        <v>3023</v>
      </c>
      <c r="B3025" s="7" t="str">
        <f t="shared" si="708"/>
        <v>213</v>
      </c>
      <c r="C3025" s="7" t="s">
        <v>2468</v>
      </c>
      <c r="D3025" s="7" t="s">
        <v>2306</v>
      </c>
      <c r="E3025" s="7" t="str">
        <f>"樊塔塔"</f>
        <v>樊塔塔</v>
      </c>
      <c r="F3025" s="7" t="str">
        <f t="shared" si="712"/>
        <v>女</v>
      </c>
      <c r="G3025" s="7" t="s">
        <v>2504</v>
      </c>
      <c r="H3025" s="8"/>
    </row>
    <row r="3026" ht="25" customHeight="1" spans="1:8">
      <c r="A3026" s="6">
        <v>3024</v>
      </c>
      <c r="B3026" s="7" t="str">
        <f t="shared" si="708"/>
        <v>213</v>
      </c>
      <c r="C3026" s="7" t="s">
        <v>2468</v>
      </c>
      <c r="D3026" s="7" t="s">
        <v>2306</v>
      </c>
      <c r="E3026" s="7" t="str">
        <f>"朱瑶"</f>
        <v>朱瑶</v>
      </c>
      <c r="F3026" s="7" t="str">
        <f t="shared" si="712"/>
        <v>女</v>
      </c>
      <c r="G3026" s="7" t="s">
        <v>2505</v>
      </c>
      <c r="H3026" s="8"/>
    </row>
    <row r="3027" ht="25" customHeight="1" spans="1:8">
      <c r="A3027" s="6">
        <v>3025</v>
      </c>
      <c r="B3027" s="7" t="str">
        <f t="shared" si="708"/>
        <v>213</v>
      </c>
      <c r="C3027" s="7" t="s">
        <v>2468</v>
      </c>
      <c r="D3027" s="7" t="s">
        <v>2306</v>
      </c>
      <c r="E3027" s="7" t="str">
        <f>"昝涛"</f>
        <v>昝涛</v>
      </c>
      <c r="F3027" s="7" t="str">
        <f t="shared" si="712"/>
        <v>女</v>
      </c>
      <c r="G3027" s="7" t="s">
        <v>2506</v>
      </c>
      <c r="H3027" s="8"/>
    </row>
    <row r="3028" ht="25" customHeight="1" spans="1:8">
      <c r="A3028" s="6">
        <v>3026</v>
      </c>
      <c r="B3028" s="7" t="str">
        <f t="shared" si="708"/>
        <v>213</v>
      </c>
      <c r="C3028" s="7" t="s">
        <v>2468</v>
      </c>
      <c r="D3028" s="7" t="s">
        <v>2306</v>
      </c>
      <c r="E3028" s="7" t="str">
        <f>"陈欣欣"</f>
        <v>陈欣欣</v>
      </c>
      <c r="F3028" s="7" t="str">
        <f t="shared" si="712"/>
        <v>女</v>
      </c>
      <c r="G3028" s="7" t="s">
        <v>2194</v>
      </c>
      <c r="H3028" s="8"/>
    </row>
    <row r="3029" ht="25" customHeight="1" spans="1:8">
      <c r="A3029" s="6">
        <v>3027</v>
      </c>
      <c r="B3029" s="7" t="str">
        <f t="shared" si="708"/>
        <v>213</v>
      </c>
      <c r="C3029" s="7" t="s">
        <v>2468</v>
      </c>
      <c r="D3029" s="7" t="s">
        <v>2306</v>
      </c>
      <c r="E3029" s="7" t="str">
        <f>"叶秋伶"</f>
        <v>叶秋伶</v>
      </c>
      <c r="F3029" s="7" t="str">
        <f t="shared" si="712"/>
        <v>女</v>
      </c>
      <c r="G3029" s="7" t="s">
        <v>2507</v>
      </c>
      <c r="H3029" s="8"/>
    </row>
    <row r="3030" ht="25" customHeight="1" spans="1:8">
      <c r="A3030" s="6">
        <v>3028</v>
      </c>
      <c r="B3030" s="7" t="str">
        <f t="shared" si="708"/>
        <v>213</v>
      </c>
      <c r="C3030" s="7" t="s">
        <v>2468</v>
      </c>
      <c r="D3030" s="7" t="s">
        <v>2306</v>
      </c>
      <c r="E3030" s="7" t="str">
        <f>"沈依远"</f>
        <v>沈依远</v>
      </c>
      <c r="F3030" s="7" t="str">
        <f t="shared" si="712"/>
        <v>女</v>
      </c>
      <c r="G3030" s="7" t="s">
        <v>2508</v>
      </c>
      <c r="H3030" s="8"/>
    </row>
    <row r="3031" ht="25" customHeight="1" spans="1:8">
      <c r="A3031" s="6">
        <v>3029</v>
      </c>
      <c r="B3031" s="7" t="str">
        <f t="shared" si="708"/>
        <v>213</v>
      </c>
      <c r="C3031" s="7" t="s">
        <v>2468</v>
      </c>
      <c r="D3031" s="7" t="s">
        <v>2306</v>
      </c>
      <c r="E3031" s="7" t="str">
        <f>"张琬婷"</f>
        <v>张琬婷</v>
      </c>
      <c r="F3031" s="7" t="str">
        <f t="shared" si="712"/>
        <v>女</v>
      </c>
      <c r="G3031" s="7" t="s">
        <v>2509</v>
      </c>
      <c r="H3031" s="8"/>
    </row>
    <row r="3032" ht="25" customHeight="1" spans="1:8">
      <c r="A3032" s="6">
        <v>3030</v>
      </c>
      <c r="B3032" s="7" t="str">
        <f t="shared" si="708"/>
        <v>213</v>
      </c>
      <c r="C3032" s="7" t="s">
        <v>2468</v>
      </c>
      <c r="D3032" s="7" t="s">
        <v>2306</v>
      </c>
      <c r="E3032" s="7" t="str">
        <f>"蓝焕莉"</f>
        <v>蓝焕莉</v>
      </c>
      <c r="F3032" s="7" t="str">
        <f t="shared" si="712"/>
        <v>女</v>
      </c>
      <c r="G3032" s="7" t="s">
        <v>2510</v>
      </c>
      <c r="H3032" s="8"/>
    </row>
    <row r="3033" ht="25" customHeight="1" spans="1:8">
      <c r="A3033" s="6">
        <v>3031</v>
      </c>
      <c r="B3033" s="7" t="str">
        <f t="shared" si="708"/>
        <v>213</v>
      </c>
      <c r="C3033" s="7" t="s">
        <v>2468</v>
      </c>
      <c r="D3033" s="7" t="s">
        <v>2306</v>
      </c>
      <c r="E3033" s="7" t="str">
        <f>"胡逸涵"</f>
        <v>胡逸涵</v>
      </c>
      <c r="F3033" s="7" t="str">
        <f t="shared" si="712"/>
        <v>女</v>
      </c>
      <c r="G3033" s="7" t="s">
        <v>2511</v>
      </c>
      <c r="H3033" s="8"/>
    </row>
    <row r="3034" ht="25" customHeight="1" spans="1:8">
      <c r="A3034" s="6">
        <v>3032</v>
      </c>
      <c r="B3034" s="7" t="str">
        <f t="shared" si="708"/>
        <v>213</v>
      </c>
      <c r="C3034" s="7" t="s">
        <v>2468</v>
      </c>
      <c r="D3034" s="7" t="s">
        <v>2306</v>
      </c>
      <c r="E3034" s="7" t="str">
        <f>"金雨鑫"</f>
        <v>金雨鑫</v>
      </c>
      <c r="F3034" s="7" t="str">
        <f t="shared" si="712"/>
        <v>女</v>
      </c>
      <c r="G3034" s="7" t="s">
        <v>2512</v>
      </c>
      <c r="H3034" s="8"/>
    </row>
    <row r="3035" ht="25" customHeight="1" spans="1:8">
      <c r="A3035" s="6">
        <v>3033</v>
      </c>
      <c r="B3035" s="7" t="str">
        <f t="shared" si="708"/>
        <v>213</v>
      </c>
      <c r="C3035" s="7" t="s">
        <v>2468</v>
      </c>
      <c r="D3035" s="7" t="s">
        <v>2306</v>
      </c>
      <c r="E3035" s="7" t="str">
        <f>"何雨莎"</f>
        <v>何雨莎</v>
      </c>
      <c r="F3035" s="7" t="str">
        <f t="shared" si="712"/>
        <v>女</v>
      </c>
      <c r="G3035" s="7" t="s">
        <v>2441</v>
      </c>
      <c r="H3035" s="8"/>
    </row>
    <row r="3036" ht="25" customHeight="1" spans="1:8">
      <c r="A3036" s="6">
        <v>3034</v>
      </c>
      <c r="B3036" s="7" t="str">
        <f t="shared" si="708"/>
        <v>213</v>
      </c>
      <c r="C3036" s="7" t="s">
        <v>2468</v>
      </c>
      <c r="D3036" s="7" t="s">
        <v>2306</v>
      </c>
      <c r="E3036" s="7" t="str">
        <f>"何芬"</f>
        <v>何芬</v>
      </c>
      <c r="F3036" s="7" t="str">
        <f t="shared" si="712"/>
        <v>女</v>
      </c>
      <c r="G3036" s="7" t="s">
        <v>2513</v>
      </c>
      <c r="H3036" s="8"/>
    </row>
    <row r="3037" ht="25" customHeight="1" spans="1:8">
      <c r="A3037" s="6">
        <v>3035</v>
      </c>
      <c r="B3037" s="7" t="str">
        <f t="shared" si="708"/>
        <v>213</v>
      </c>
      <c r="C3037" s="7" t="s">
        <v>2468</v>
      </c>
      <c r="D3037" s="7" t="s">
        <v>2306</v>
      </c>
      <c r="E3037" s="7" t="str">
        <f>"陈美佳"</f>
        <v>陈美佳</v>
      </c>
      <c r="F3037" s="7" t="str">
        <f t="shared" si="712"/>
        <v>女</v>
      </c>
      <c r="G3037" s="7" t="s">
        <v>2514</v>
      </c>
      <c r="H3037" s="8"/>
    </row>
    <row r="3038" ht="25" customHeight="1" spans="1:8">
      <c r="A3038" s="6">
        <v>3036</v>
      </c>
      <c r="B3038" s="7" t="str">
        <f t="shared" si="708"/>
        <v>213</v>
      </c>
      <c r="C3038" s="7" t="s">
        <v>2468</v>
      </c>
      <c r="D3038" s="7" t="s">
        <v>2306</v>
      </c>
      <c r="E3038" s="7" t="str">
        <f>"董雨晴"</f>
        <v>董雨晴</v>
      </c>
      <c r="F3038" s="7" t="str">
        <f t="shared" si="712"/>
        <v>女</v>
      </c>
      <c r="G3038" s="7" t="s">
        <v>2515</v>
      </c>
      <c r="H3038" s="8"/>
    </row>
    <row r="3039" ht="25" customHeight="1" spans="1:8">
      <c r="A3039" s="6">
        <v>3037</v>
      </c>
      <c r="B3039" s="7" t="str">
        <f t="shared" si="708"/>
        <v>213</v>
      </c>
      <c r="C3039" s="7" t="s">
        <v>2468</v>
      </c>
      <c r="D3039" s="7" t="s">
        <v>2306</v>
      </c>
      <c r="E3039" s="7" t="str">
        <f>"黄爱"</f>
        <v>黄爱</v>
      </c>
      <c r="F3039" s="7" t="str">
        <f t="shared" si="712"/>
        <v>女</v>
      </c>
      <c r="G3039" s="7" t="s">
        <v>2516</v>
      </c>
      <c r="H3039" s="8"/>
    </row>
    <row r="3040" ht="25" customHeight="1" spans="1:8">
      <c r="A3040" s="6">
        <v>3038</v>
      </c>
      <c r="B3040" s="7" t="str">
        <f t="shared" si="708"/>
        <v>213</v>
      </c>
      <c r="C3040" s="7" t="s">
        <v>2468</v>
      </c>
      <c r="D3040" s="7" t="s">
        <v>2306</v>
      </c>
      <c r="E3040" s="7" t="str">
        <f>"冯亚茹"</f>
        <v>冯亚茹</v>
      </c>
      <c r="F3040" s="7" t="str">
        <f t="shared" si="712"/>
        <v>女</v>
      </c>
      <c r="G3040" s="7" t="s">
        <v>2517</v>
      </c>
      <c r="H3040" s="8"/>
    </row>
    <row r="3041" ht="25" customHeight="1" spans="1:8">
      <c r="A3041" s="6">
        <v>3039</v>
      </c>
      <c r="B3041" s="7" t="str">
        <f t="shared" si="708"/>
        <v>213</v>
      </c>
      <c r="C3041" s="7" t="s">
        <v>2468</v>
      </c>
      <c r="D3041" s="7" t="s">
        <v>2306</v>
      </c>
      <c r="E3041" s="7" t="str">
        <f>"罗钧月"</f>
        <v>罗钧月</v>
      </c>
      <c r="F3041" s="7" t="str">
        <f t="shared" si="712"/>
        <v>女</v>
      </c>
      <c r="G3041" s="7" t="s">
        <v>2518</v>
      </c>
      <c r="H3041" s="8"/>
    </row>
    <row r="3042" ht="25" customHeight="1" spans="1:8">
      <c r="A3042" s="6">
        <v>3040</v>
      </c>
      <c r="B3042" s="7" t="str">
        <f t="shared" si="708"/>
        <v>213</v>
      </c>
      <c r="C3042" s="7" t="s">
        <v>2468</v>
      </c>
      <c r="D3042" s="7" t="s">
        <v>2306</v>
      </c>
      <c r="E3042" s="7" t="str">
        <f>"冼李春"</f>
        <v>冼李春</v>
      </c>
      <c r="F3042" s="7" t="str">
        <f t="shared" si="712"/>
        <v>女</v>
      </c>
      <c r="G3042" s="7" t="s">
        <v>2519</v>
      </c>
      <c r="H3042" s="8"/>
    </row>
    <row r="3043" ht="25" customHeight="1" spans="1:8">
      <c r="A3043" s="6">
        <v>3041</v>
      </c>
      <c r="B3043" s="7" t="str">
        <f t="shared" si="708"/>
        <v>213</v>
      </c>
      <c r="C3043" s="7" t="s">
        <v>2468</v>
      </c>
      <c r="D3043" s="7" t="s">
        <v>2306</v>
      </c>
      <c r="E3043" s="7" t="str">
        <f>"高阳"</f>
        <v>高阳</v>
      </c>
      <c r="F3043" s="7" t="str">
        <f t="shared" si="712"/>
        <v>女</v>
      </c>
      <c r="G3043" s="7" t="s">
        <v>2033</v>
      </c>
      <c r="H3043" s="8"/>
    </row>
    <row r="3044" ht="25" customHeight="1" spans="1:8">
      <c r="A3044" s="6">
        <v>3042</v>
      </c>
      <c r="B3044" s="7" t="str">
        <f t="shared" ref="B3044:B3095" si="713">"213"</f>
        <v>213</v>
      </c>
      <c r="C3044" s="7" t="s">
        <v>2468</v>
      </c>
      <c r="D3044" s="7" t="s">
        <v>2306</v>
      </c>
      <c r="E3044" s="7" t="str">
        <f>"陈忠宇"</f>
        <v>陈忠宇</v>
      </c>
      <c r="F3044" s="7" t="str">
        <f>"男"</f>
        <v>男</v>
      </c>
      <c r="G3044" s="7" t="s">
        <v>2520</v>
      </c>
      <c r="H3044" s="8"/>
    </row>
    <row r="3045" ht="25" customHeight="1" spans="1:8">
      <c r="A3045" s="6">
        <v>3043</v>
      </c>
      <c r="B3045" s="7" t="str">
        <f t="shared" si="713"/>
        <v>213</v>
      </c>
      <c r="C3045" s="7" t="s">
        <v>2468</v>
      </c>
      <c r="D3045" s="7" t="s">
        <v>2306</v>
      </c>
      <c r="E3045" s="7" t="str">
        <f>"邝琳"</f>
        <v>邝琳</v>
      </c>
      <c r="F3045" s="7" t="str">
        <f t="shared" ref="F3045:F3048" si="714">"女"</f>
        <v>女</v>
      </c>
      <c r="G3045" s="7" t="s">
        <v>2521</v>
      </c>
      <c r="H3045" s="8"/>
    </row>
    <row r="3046" ht="25" customHeight="1" spans="1:8">
      <c r="A3046" s="6">
        <v>3044</v>
      </c>
      <c r="B3046" s="7" t="str">
        <f t="shared" si="713"/>
        <v>213</v>
      </c>
      <c r="C3046" s="7" t="s">
        <v>2468</v>
      </c>
      <c r="D3046" s="7" t="s">
        <v>2306</v>
      </c>
      <c r="E3046" s="7" t="str">
        <f>"马景然"</f>
        <v>马景然</v>
      </c>
      <c r="F3046" s="7" t="str">
        <f t="shared" si="714"/>
        <v>女</v>
      </c>
      <c r="G3046" s="7" t="s">
        <v>2522</v>
      </c>
      <c r="H3046" s="8"/>
    </row>
    <row r="3047" ht="25" customHeight="1" spans="1:8">
      <c r="A3047" s="6">
        <v>3045</v>
      </c>
      <c r="B3047" s="7" t="str">
        <f t="shared" si="713"/>
        <v>213</v>
      </c>
      <c r="C3047" s="7" t="s">
        <v>2468</v>
      </c>
      <c r="D3047" s="7" t="s">
        <v>2306</v>
      </c>
      <c r="E3047" s="7" t="str">
        <f>"郑彩丹"</f>
        <v>郑彩丹</v>
      </c>
      <c r="F3047" s="7" t="str">
        <f t="shared" si="714"/>
        <v>女</v>
      </c>
      <c r="G3047" s="7" t="s">
        <v>2523</v>
      </c>
      <c r="H3047" s="8"/>
    </row>
    <row r="3048" ht="25" customHeight="1" spans="1:8">
      <c r="A3048" s="6">
        <v>3046</v>
      </c>
      <c r="B3048" s="7" t="str">
        <f t="shared" si="713"/>
        <v>213</v>
      </c>
      <c r="C3048" s="7" t="s">
        <v>2468</v>
      </c>
      <c r="D3048" s="7" t="s">
        <v>2306</v>
      </c>
      <c r="E3048" s="7" t="str">
        <f>"温婕"</f>
        <v>温婕</v>
      </c>
      <c r="F3048" s="7" t="str">
        <f t="shared" si="714"/>
        <v>女</v>
      </c>
      <c r="G3048" s="7" t="s">
        <v>2524</v>
      </c>
      <c r="H3048" s="8"/>
    </row>
    <row r="3049" ht="25" customHeight="1" spans="1:8">
      <c r="A3049" s="6">
        <v>3047</v>
      </c>
      <c r="B3049" s="7" t="str">
        <f t="shared" si="713"/>
        <v>213</v>
      </c>
      <c r="C3049" s="7" t="s">
        <v>2468</v>
      </c>
      <c r="D3049" s="7" t="s">
        <v>2306</v>
      </c>
      <c r="E3049" s="7" t="str">
        <f>"高铭泽"</f>
        <v>高铭泽</v>
      </c>
      <c r="F3049" s="7" t="str">
        <f>"男"</f>
        <v>男</v>
      </c>
      <c r="G3049" s="7" t="s">
        <v>2525</v>
      </c>
      <c r="H3049" s="8"/>
    </row>
    <row r="3050" ht="25" customHeight="1" spans="1:8">
      <c r="A3050" s="6">
        <v>3048</v>
      </c>
      <c r="B3050" s="7" t="str">
        <f t="shared" si="713"/>
        <v>213</v>
      </c>
      <c r="C3050" s="7" t="s">
        <v>2468</v>
      </c>
      <c r="D3050" s="7" t="s">
        <v>2306</v>
      </c>
      <c r="E3050" s="7" t="str">
        <f>"丁一川"</f>
        <v>丁一川</v>
      </c>
      <c r="F3050" s="7" t="str">
        <f>"男"</f>
        <v>男</v>
      </c>
      <c r="G3050" s="7" t="s">
        <v>2526</v>
      </c>
      <c r="H3050" s="8"/>
    </row>
    <row r="3051" ht="25" customHeight="1" spans="1:8">
      <c r="A3051" s="6">
        <v>3049</v>
      </c>
      <c r="B3051" s="7" t="str">
        <f t="shared" si="713"/>
        <v>213</v>
      </c>
      <c r="C3051" s="7" t="s">
        <v>2468</v>
      </c>
      <c r="D3051" s="7" t="s">
        <v>2306</v>
      </c>
      <c r="E3051" s="7" t="str">
        <f>"罗玖玟"</f>
        <v>罗玖玟</v>
      </c>
      <c r="F3051" s="7" t="str">
        <f t="shared" ref="F3051:F3058" si="715">"女"</f>
        <v>女</v>
      </c>
      <c r="G3051" s="7" t="s">
        <v>308</v>
      </c>
      <c r="H3051" s="8"/>
    </row>
    <row r="3052" ht="25" customHeight="1" spans="1:8">
      <c r="A3052" s="6">
        <v>3050</v>
      </c>
      <c r="B3052" s="7" t="str">
        <f t="shared" si="713"/>
        <v>213</v>
      </c>
      <c r="C3052" s="7" t="s">
        <v>2468</v>
      </c>
      <c r="D3052" s="7" t="s">
        <v>2306</v>
      </c>
      <c r="E3052" s="7" t="str">
        <f>"谭雨群"</f>
        <v>谭雨群</v>
      </c>
      <c r="F3052" s="7" t="str">
        <f t="shared" si="715"/>
        <v>女</v>
      </c>
      <c r="G3052" s="7" t="s">
        <v>2527</v>
      </c>
      <c r="H3052" s="8"/>
    </row>
    <row r="3053" ht="25" customHeight="1" spans="1:8">
      <c r="A3053" s="6">
        <v>3051</v>
      </c>
      <c r="B3053" s="7" t="str">
        <f t="shared" si="713"/>
        <v>213</v>
      </c>
      <c r="C3053" s="7" t="s">
        <v>2468</v>
      </c>
      <c r="D3053" s="7" t="s">
        <v>2306</v>
      </c>
      <c r="E3053" s="7" t="str">
        <f>"蔡慧萍"</f>
        <v>蔡慧萍</v>
      </c>
      <c r="F3053" s="7" t="str">
        <f t="shared" si="715"/>
        <v>女</v>
      </c>
      <c r="G3053" s="7" t="s">
        <v>2528</v>
      </c>
      <c r="H3053" s="8"/>
    </row>
    <row r="3054" ht="25" customHeight="1" spans="1:8">
      <c r="A3054" s="6">
        <v>3052</v>
      </c>
      <c r="B3054" s="7" t="str">
        <f t="shared" si="713"/>
        <v>213</v>
      </c>
      <c r="C3054" s="7" t="s">
        <v>2468</v>
      </c>
      <c r="D3054" s="7" t="s">
        <v>2306</v>
      </c>
      <c r="E3054" s="7" t="str">
        <f>"符芷怡"</f>
        <v>符芷怡</v>
      </c>
      <c r="F3054" s="7" t="str">
        <f t="shared" si="715"/>
        <v>女</v>
      </c>
      <c r="G3054" s="7" t="s">
        <v>2529</v>
      </c>
      <c r="H3054" s="8"/>
    </row>
    <row r="3055" ht="25" customHeight="1" spans="1:8">
      <c r="A3055" s="6">
        <v>3053</v>
      </c>
      <c r="B3055" s="7" t="str">
        <f t="shared" si="713"/>
        <v>213</v>
      </c>
      <c r="C3055" s="7" t="s">
        <v>2468</v>
      </c>
      <c r="D3055" s="7" t="s">
        <v>2306</v>
      </c>
      <c r="E3055" s="7" t="str">
        <f>"孟旭"</f>
        <v>孟旭</v>
      </c>
      <c r="F3055" s="7" t="str">
        <f t="shared" si="715"/>
        <v>女</v>
      </c>
      <c r="G3055" s="7" t="s">
        <v>2530</v>
      </c>
      <c r="H3055" s="8"/>
    </row>
    <row r="3056" ht="25" customHeight="1" spans="1:8">
      <c r="A3056" s="6">
        <v>3054</v>
      </c>
      <c r="B3056" s="7" t="str">
        <f t="shared" si="713"/>
        <v>213</v>
      </c>
      <c r="C3056" s="7" t="s">
        <v>2468</v>
      </c>
      <c r="D3056" s="7" t="s">
        <v>2306</v>
      </c>
      <c r="E3056" s="7" t="str">
        <f>"许雯"</f>
        <v>许雯</v>
      </c>
      <c r="F3056" s="7" t="str">
        <f t="shared" si="715"/>
        <v>女</v>
      </c>
      <c r="G3056" s="7" t="s">
        <v>2531</v>
      </c>
      <c r="H3056" s="8"/>
    </row>
    <row r="3057" ht="25" customHeight="1" spans="1:8">
      <c r="A3057" s="6">
        <v>3055</v>
      </c>
      <c r="B3057" s="7" t="str">
        <f t="shared" si="713"/>
        <v>213</v>
      </c>
      <c r="C3057" s="7" t="s">
        <v>2468</v>
      </c>
      <c r="D3057" s="7" t="s">
        <v>2306</v>
      </c>
      <c r="E3057" s="7" t="str">
        <f>"全业坛"</f>
        <v>全业坛</v>
      </c>
      <c r="F3057" s="7" t="str">
        <f t="shared" si="715"/>
        <v>女</v>
      </c>
      <c r="G3057" s="7" t="s">
        <v>2532</v>
      </c>
      <c r="H3057" s="8"/>
    </row>
    <row r="3058" ht="25" customHeight="1" spans="1:8">
      <c r="A3058" s="6">
        <v>3056</v>
      </c>
      <c r="B3058" s="7" t="str">
        <f t="shared" si="713"/>
        <v>213</v>
      </c>
      <c r="C3058" s="7" t="s">
        <v>2468</v>
      </c>
      <c r="D3058" s="7" t="s">
        <v>2306</v>
      </c>
      <c r="E3058" s="7" t="str">
        <f>"梁安娜"</f>
        <v>梁安娜</v>
      </c>
      <c r="F3058" s="7" t="str">
        <f t="shared" si="715"/>
        <v>女</v>
      </c>
      <c r="G3058" s="7" t="s">
        <v>147</v>
      </c>
      <c r="H3058" s="8"/>
    </row>
    <row r="3059" ht="25" customHeight="1" spans="1:8">
      <c r="A3059" s="6">
        <v>3057</v>
      </c>
      <c r="B3059" s="7" t="str">
        <f t="shared" si="713"/>
        <v>213</v>
      </c>
      <c r="C3059" s="7" t="s">
        <v>2468</v>
      </c>
      <c r="D3059" s="7" t="s">
        <v>2306</v>
      </c>
      <c r="E3059" s="7" t="str">
        <f>"陈家文"</f>
        <v>陈家文</v>
      </c>
      <c r="F3059" s="7" t="str">
        <f t="shared" ref="F3059:F3063" si="716">"男"</f>
        <v>男</v>
      </c>
      <c r="G3059" s="7" t="s">
        <v>2533</v>
      </c>
      <c r="H3059" s="8"/>
    </row>
    <row r="3060" ht="25" customHeight="1" spans="1:8">
      <c r="A3060" s="6">
        <v>3058</v>
      </c>
      <c r="B3060" s="7" t="str">
        <f t="shared" si="713"/>
        <v>213</v>
      </c>
      <c r="C3060" s="7" t="s">
        <v>2468</v>
      </c>
      <c r="D3060" s="7" t="s">
        <v>2306</v>
      </c>
      <c r="E3060" s="7" t="str">
        <f>"兰约"</f>
        <v>兰约</v>
      </c>
      <c r="F3060" s="7" t="str">
        <f t="shared" ref="F3060:F3069" si="717">"女"</f>
        <v>女</v>
      </c>
      <c r="G3060" s="7" t="s">
        <v>2534</v>
      </c>
      <c r="H3060" s="8"/>
    </row>
    <row r="3061" ht="25" customHeight="1" spans="1:8">
      <c r="A3061" s="6">
        <v>3059</v>
      </c>
      <c r="B3061" s="7" t="str">
        <f t="shared" si="713"/>
        <v>213</v>
      </c>
      <c r="C3061" s="7" t="s">
        <v>2468</v>
      </c>
      <c r="D3061" s="7" t="s">
        <v>2306</v>
      </c>
      <c r="E3061" s="7" t="str">
        <f>"李天孙"</f>
        <v>李天孙</v>
      </c>
      <c r="F3061" s="7" t="str">
        <f t="shared" si="716"/>
        <v>男</v>
      </c>
      <c r="G3061" s="7" t="s">
        <v>2535</v>
      </c>
      <c r="H3061" s="8"/>
    </row>
    <row r="3062" ht="25" customHeight="1" spans="1:8">
      <c r="A3062" s="6">
        <v>3060</v>
      </c>
      <c r="B3062" s="7" t="str">
        <f t="shared" si="713"/>
        <v>213</v>
      </c>
      <c r="C3062" s="7" t="s">
        <v>2468</v>
      </c>
      <c r="D3062" s="7" t="s">
        <v>2306</v>
      </c>
      <c r="E3062" s="7" t="str">
        <f>"王柳尹"</f>
        <v>王柳尹</v>
      </c>
      <c r="F3062" s="7" t="str">
        <f t="shared" si="717"/>
        <v>女</v>
      </c>
      <c r="G3062" s="7" t="s">
        <v>1676</v>
      </c>
      <c r="H3062" s="8"/>
    </row>
    <row r="3063" ht="25" customHeight="1" spans="1:8">
      <c r="A3063" s="6">
        <v>3061</v>
      </c>
      <c r="B3063" s="7" t="str">
        <f t="shared" si="713"/>
        <v>213</v>
      </c>
      <c r="C3063" s="7" t="s">
        <v>2468</v>
      </c>
      <c r="D3063" s="7" t="s">
        <v>2306</v>
      </c>
      <c r="E3063" s="7" t="str">
        <f>"符学壮"</f>
        <v>符学壮</v>
      </c>
      <c r="F3063" s="7" t="str">
        <f t="shared" si="716"/>
        <v>男</v>
      </c>
      <c r="G3063" s="7" t="s">
        <v>2536</v>
      </c>
      <c r="H3063" s="8"/>
    </row>
    <row r="3064" ht="25" customHeight="1" spans="1:8">
      <c r="A3064" s="6">
        <v>3062</v>
      </c>
      <c r="B3064" s="7" t="str">
        <f t="shared" si="713"/>
        <v>213</v>
      </c>
      <c r="C3064" s="7" t="s">
        <v>2468</v>
      </c>
      <c r="D3064" s="7" t="s">
        <v>2306</v>
      </c>
      <c r="E3064" s="7" t="str">
        <f>"王天月"</f>
        <v>王天月</v>
      </c>
      <c r="F3064" s="7" t="str">
        <f t="shared" si="717"/>
        <v>女</v>
      </c>
      <c r="G3064" s="7" t="s">
        <v>2537</v>
      </c>
      <c r="H3064" s="8"/>
    </row>
    <row r="3065" ht="25" customHeight="1" spans="1:8">
      <c r="A3065" s="6">
        <v>3063</v>
      </c>
      <c r="B3065" s="7" t="str">
        <f t="shared" si="713"/>
        <v>213</v>
      </c>
      <c r="C3065" s="7" t="s">
        <v>2468</v>
      </c>
      <c r="D3065" s="7" t="s">
        <v>2306</v>
      </c>
      <c r="E3065" s="7" t="str">
        <f>"唐梅艳"</f>
        <v>唐梅艳</v>
      </c>
      <c r="F3065" s="7" t="str">
        <f t="shared" si="717"/>
        <v>女</v>
      </c>
      <c r="G3065" s="7" t="s">
        <v>2538</v>
      </c>
      <c r="H3065" s="8"/>
    </row>
    <row r="3066" ht="25" customHeight="1" spans="1:8">
      <c r="A3066" s="6">
        <v>3064</v>
      </c>
      <c r="B3066" s="7" t="str">
        <f t="shared" si="713"/>
        <v>213</v>
      </c>
      <c r="C3066" s="7" t="s">
        <v>2468</v>
      </c>
      <c r="D3066" s="7" t="s">
        <v>2306</v>
      </c>
      <c r="E3066" s="7" t="str">
        <f>"符良霞"</f>
        <v>符良霞</v>
      </c>
      <c r="F3066" s="7" t="str">
        <f t="shared" si="717"/>
        <v>女</v>
      </c>
      <c r="G3066" s="7" t="s">
        <v>2539</v>
      </c>
      <c r="H3066" s="8"/>
    </row>
    <row r="3067" ht="25" customHeight="1" spans="1:8">
      <c r="A3067" s="6">
        <v>3065</v>
      </c>
      <c r="B3067" s="7" t="str">
        <f t="shared" si="713"/>
        <v>213</v>
      </c>
      <c r="C3067" s="7" t="s">
        <v>2468</v>
      </c>
      <c r="D3067" s="7" t="s">
        <v>2306</v>
      </c>
      <c r="E3067" s="7" t="str">
        <f>"羊丽妍"</f>
        <v>羊丽妍</v>
      </c>
      <c r="F3067" s="7" t="str">
        <f t="shared" si="717"/>
        <v>女</v>
      </c>
      <c r="G3067" s="7" t="s">
        <v>2540</v>
      </c>
      <c r="H3067" s="8"/>
    </row>
    <row r="3068" ht="25" customHeight="1" spans="1:8">
      <c r="A3068" s="6">
        <v>3066</v>
      </c>
      <c r="B3068" s="7" t="str">
        <f t="shared" si="713"/>
        <v>213</v>
      </c>
      <c r="C3068" s="7" t="s">
        <v>2468</v>
      </c>
      <c r="D3068" s="7" t="s">
        <v>2306</v>
      </c>
      <c r="E3068" s="7" t="str">
        <f>"陈泰珍"</f>
        <v>陈泰珍</v>
      </c>
      <c r="F3068" s="7" t="str">
        <f t="shared" si="717"/>
        <v>女</v>
      </c>
      <c r="G3068" s="7" t="s">
        <v>525</v>
      </c>
      <c r="H3068" s="8"/>
    </row>
    <row r="3069" ht="25" customHeight="1" spans="1:8">
      <c r="A3069" s="6">
        <v>3067</v>
      </c>
      <c r="B3069" s="7" t="str">
        <f t="shared" si="713"/>
        <v>213</v>
      </c>
      <c r="C3069" s="7" t="s">
        <v>2468</v>
      </c>
      <c r="D3069" s="7" t="s">
        <v>2306</v>
      </c>
      <c r="E3069" s="7" t="str">
        <f>"康婧"</f>
        <v>康婧</v>
      </c>
      <c r="F3069" s="7" t="str">
        <f t="shared" si="717"/>
        <v>女</v>
      </c>
      <c r="G3069" s="7" t="s">
        <v>2541</v>
      </c>
      <c r="H3069" s="8"/>
    </row>
    <row r="3070" ht="25" customHeight="1" spans="1:8">
      <c r="A3070" s="6">
        <v>3068</v>
      </c>
      <c r="B3070" s="7" t="str">
        <f t="shared" si="713"/>
        <v>213</v>
      </c>
      <c r="C3070" s="7" t="s">
        <v>2468</v>
      </c>
      <c r="D3070" s="7" t="s">
        <v>2306</v>
      </c>
      <c r="E3070" s="7" t="str">
        <f>"陆元东"</f>
        <v>陆元东</v>
      </c>
      <c r="F3070" s="7" t="str">
        <f>"男"</f>
        <v>男</v>
      </c>
      <c r="G3070" s="7" t="s">
        <v>2542</v>
      </c>
      <c r="H3070" s="8"/>
    </row>
    <row r="3071" ht="25" customHeight="1" spans="1:8">
      <c r="A3071" s="6">
        <v>3069</v>
      </c>
      <c r="B3071" s="7" t="str">
        <f t="shared" si="713"/>
        <v>213</v>
      </c>
      <c r="C3071" s="7" t="s">
        <v>2468</v>
      </c>
      <c r="D3071" s="7" t="s">
        <v>2306</v>
      </c>
      <c r="E3071" s="7" t="str">
        <f>"李向向"</f>
        <v>李向向</v>
      </c>
      <c r="F3071" s="7" t="str">
        <f t="shared" ref="F3071:F3074" si="718">"女"</f>
        <v>女</v>
      </c>
      <c r="G3071" s="7" t="s">
        <v>449</v>
      </c>
      <c r="H3071" s="8"/>
    </row>
    <row r="3072" ht="25" customHeight="1" spans="1:8">
      <c r="A3072" s="6">
        <v>3070</v>
      </c>
      <c r="B3072" s="7" t="str">
        <f t="shared" si="713"/>
        <v>213</v>
      </c>
      <c r="C3072" s="7" t="s">
        <v>2468</v>
      </c>
      <c r="D3072" s="7" t="s">
        <v>2306</v>
      </c>
      <c r="E3072" s="7" t="str">
        <f>"廖歆翎"</f>
        <v>廖歆翎</v>
      </c>
      <c r="F3072" s="7" t="str">
        <f t="shared" si="718"/>
        <v>女</v>
      </c>
      <c r="G3072" s="7" t="s">
        <v>2543</v>
      </c>
      <c r="H3072" s="8"/>
    </row>
    <row r="3073" ht="25" customHeight="1" spans="1:8">
      <c r="A3073" s="6">
        <v>3071</v>
      </c>
      <c r="B3073" s="7" t="str">
        <f t="shared" si="713"/>
        <v>213</v>
      </c>
      <c r="C3073" s="7" t="s">
        <v>2468</v>
      </c>
      <c r="D3073" s="7" t="s">
        <v>2306</v>
      </c>
      <c r="E3073" s="7" t="str">
        <f>"罗清"</f>
        <v>罗清</v>
      </c>
      <c r="F3073" s="7" t="str">
        <f t="shared" si="718"/>
        <v>女</v>
      </c>
      <c r="G3073" s="7" t="s">
        <v>2544</v>
      </c>
      <c r="H3073" s="8"/>
    </row>
    <row r="3074" ht="25" customHeight="1" spans="1:8">
      <c r="A3074" s="6">
        <v>3072</v>
      </c>
      <c r="B3074" s="7" t="str">
        <f t="shared" si="713"/>
        <v>213</v>
      </c>
      <c r="C3074" s="7" t="s">
        <v>2468</v>
      </c>
      <c r="D3074" s="7" t="s">
        <v>2306</v>
      </c>
      <c r="E3074" s="7" t="str">
        <f>"王涵"</f>
        <v>王涵</v>
      </c>
      <c r="F3074" s="7" t="str">
        <f t="shared" si="718"/>
        <v>女</v>
      </c>
      <c r="G3074" s="7" t="s">
        <v>2033</v>
      </c>
      <c r="H3074" s="8"/>
    </row>
    <row r="3075" ht="25" customHeight="1" spans="1:8">
      <c r="A3075" s="6">
        <v>3073</v>
      </c>
      <c r="B3075" s="7" t="str">
        <f t="shared" si="713"/>
        <v>213</v>
      </c>
      <c r="C3075" s="7" t="s">
        <v>2468</v>
      </c>
      <c r="D3075" s="7" t="s">
        <v>2306</v>
      </c>
      <c r="E3075" s="7" t="str">
        <f>"梁百川"</f>
        <v>梁百川</v>
      </c>
      <c r="F3075" s="7" t="str">
        <f>"男"</f>
        <v>男</v>
      </c>
      <c r="G3075" s="7" t="s">
        <v>2545</v>
      </c>
      <c r="H3075" s="8"/>
    </row>
    <row r="3076" ht="25" customHeight="1" spans="1:8">
      <c r="A3076" s="6">
        <v>3074</v>
      </c>
      <c r="B3076" s="7" t="str">
        <f t="shared" si="713"/>
        <v>213</v>
      </c>
      <c r="C3076" s="7" t="s">
        <v>2468</v>
      </c>
      <c r="D3076" s="7" t="s">
        <v>2306</v>
      </c>
      <c r="E3076" s="7" t="str">
        <f>"蔡钰聃"</f>
        <v>蔡钰聃</v>
      </c>
      <c r="F3076" s="7" t="str">
        <f t="shared" ref="F3076:F3081" si="719">"女"</f>
        <v>女</v>
      </c>
      <c r="G3076" s="7" t="s">
        <v>2546</v>
      </c>
      <c r="H3076" s="8"/>
    </row>
    <row r="3077" ht="25" customHeight="1" spans="1:8">
      <c r="A3077" s="6">
        <v>3075</v>
      </c>
      <c r="B3077" s="7" t="str">
        <f t="shared" si="713"/>
        <v>213</v>
      </c>
      <c r="C3077" s="7" t="s">
        <v>2468</v>
      </c>
      <c r="D3077" s="7" t="s">
        <v>2306</v>
      </c>
      <c r="E3077" s="7" t="str">
        <f>"唐贤旭"</f>
        <v>唐贤旭</v>
      </c>
      <c r="F3077" s="7" t="str">
        <f>"男"</f>
        <v>男</v>
      </c>
      <c r="G3077" s="7" t="s">
        <v>1783</v>
      </c>
      <c r="H3077" s="8"/>
    </row>
    <row r="3078" ht="25" customHeight="1" spans="1:8">
      <c r="A3078" s="6">
        <v>3076</v>
      </c>
      <c r="B3078" s="7" t="str">
        <f t="shared" si="713"/>
        <v>213</v>
      </c>
      <c r="C3078" s="7" t="s">
        <v>2468</v>
      </c>
      <c r="D3078" s="7" t="s">
        <v>2306</v>
      </c>
      <c r="E3078" s="7" t="str">
        <f>"麦凯峡"</f>
        <v>麦凯峡</v>
      </c>
      <c r="F3078" s="7" t="str">
        <f t="shared" si="719"/>
        <v>女</v>
      </c>
      <c r="G3078" s="7" t="s">
        <v>798</v>
      </c>
      <c r="H3078" s="8"/>
    </row>
    <row r="3079" ht="25" customHeight="1" spans="1:8">
      <c r="A3079" s="6">
        <v>3077</v>
      </c>
      <c r="B3079" s="7" t="str">
        <f t="shared" si="713"/>
        <v>213</v>
      </c>
      <c r="C3079" s="7" t="s">
        <v>2468</v>
      </c>
      <c r="D3079" s="7" t="s">
        <v>2306</v>
      </c>
      <c r="E3079" s="7" t="str">
        <f>"吴定颖"</f>
        <v>吴定颖</v>
      </c>
      <c r="F3079" s="7" t="str">
        <f t="shared" si="719"/>
        <v>女</v>
      </c>
      <c r="G3079" s="7" t="s">
        <v>2547</v>
      </c>
      <c r="H3079" s="8"/>
    </row>
    <row r="3080" ht="25" customHeight="1" spans="1:8">
      <c r="A3080" s="6">
        <v>3078</v>
      </c>
      <c r="B3080" s="7" t="str">
        <f t="shared" si="713"/>
        <v>213</v>
      </c>
      <c r="C3080" s="7" t="s">
        <v>2468</v>
      </c>
      <c r="D3080" s="7" t="s">
        <v>2306</v>
      </c>
      <c r="E3080" s="7" t="str">
        <f>"陈发玲"</f>
        <v>陈发玲</v>
      </c>
      <c r="F3080" s="7" t="str">
        <f t="shared" si="719"/>
        <v>女</v>
      </c>
      <c r="G3080" s="7" t="s">
        <v>2548</v>
      </c>
      <c r="H3080" s="8"/>
    </row>
    <row r="3081" ht="25" customHeight="1" spans="1:8">
      <c r="A3081" s="6">
        <v>3079</v>
      </c>
      <c r="B3081" s="7" t="str">
        <f t="shared" si="713"/>
        <v>213</v>
      </c>
      <c r="C3081" s="7" t="s">
        <v>2468</v>
      </c>
      <c r="D3081" s="7" t="s">
        <v>2306</v>
      </c>
      <c r="E3081" s="7" t="str">
        <f>"肖煜"</f>
        <v>肖煜</v>
      </c>
      <c r="F3081" s="7" t="str">
        <f t="shared" si="719"/>
        <v>女</v>
      </c>
      <c r="G3081" s="7" t="s">
        <v>2549</v>
      </c>
      <c r="H3081" s="8"/>
    </row>
    <row r="3082" ht="25" customHeight="1" spans="1:8">
      <c r="A3082" s="6">
        <v>3080</v>
      </c>
      <c r="B3082" s="7" t="str">
        <f t="shared" si="713"/>
        <v>213</v>
      </c>
      <c r="C3082" s="7" t="s">
        <v>2468</v>
      </c>
      <c r="D3082" s="7" t="s">
        <v>2306</v>
      </c>
      <c r="E3082" s="7" t="str">
        <f>"刘泽润"</f>
        <v>刘泽润</v>
      </c>
      <c r="F3082" s="7" t="str">
        <f>"男"</f>
        <v>男</v>
      </c>
      <c r="G3082" s="7" t="s">
        <v>2550</v>
      </c>
      <c r="H3082" s="8"/>
    </row>
    <row r="3083" ht="25" customHeight="1" spans="1:8">
      <c r="A3083" s="6">
        <v>3081</v>
      </c>
      <c r="B3083" s="7" t="str">
        <f t="shared" si="713"/>
        <v>213</v>
      </c>
      <c r="C3083" s="7" t="s">
        <v>2468</v>
      </c>
      <c r="D3083" s="7" t="s">
        <v>2306</v>
      </c>
      <c r="E3083" s="7" t="str">
        <f>"田甜"</f>
        <v>田甜</v>
      </c>
      <c r="F3083" s="7" t="str">
        <f t="shared" ref="F3083:F3094" si="720">"女"</f>
        <v>女</v>
      </c>
      <c r="G3083" s="7" t="s">
        <v>2551</v>
      </c>
      <c r="H3083" s="8"/>
    </row>
    <row r="3084" ht="25" customHeight="1" spans="1:8">
      <c r="A3084" s="6">
        <v>3082</v>
      </c>
      <c r="B3084" s="7" t="str">
        <f t="shared" si="713"/>
        <v>213</v>
      </c>
      <c r="C3084" s="7" t="s">
        <v>2468</v>
      </c>
      <c r="D3084" s="7" t="s">
        <v>2306</v>
      </c>
      <c r="E3084" s="7" t="str">
        <f>"雷宇航"</f>
        <v>雷宇航</v>
      </c>
      <c r="F3084" s="7" t="str">
        <f>"男"</f>
        <v>男</v>
      </c>
      <c r="G3084" s="7" t="s">
        <v>2552</v>
      </c>
      <c r="H3084" s="8"/>
    </row>
    <row r="3085" ht="25" customHeight="1" spans="1:8">
      <c r="A3085" s="6">
        <v>3083</v>
      </c>
      <c r="B3085" s="7" t="str">
        <f t="shared" si="713"/>
        <v>213</v>
      </c>
      <c r="C3085" s="7" t="s">
        <v>2468</v>
      </c>
      <c r="D3085" s="7" t="s">
        <v>2306</v>
      </c>
      <c r="E3085" s="7" t="str">
        <f>"陈丹妮"</f>
        <v>陈丹妮</v>
      </c>
      <c r="F3085" s="7" t="str">
        <f t="shared" si="720"/>
        <v>女</v>
      </c>
      <c r="G3085" s="7" t="s">
        <v>2553</v>
      </c>
      <c r="H3085" s="8"/>
    </row>
    <row r="3086" ht="25" customHeight="1" spans="1:8">
      <c r="A3086" s="6">
        <v>3084</v>
      </c>
      <c r="B3086" s="7" t="str">
        <f t="shared" si="713"/>
        <v>213</v>
      </c>
      <c r="C3086" s="7" t="s">
        <v>2468</v>
      </c>
      <c r="D3086" s="7" t="s">
        <v>2306</v>
      </c>
      <c r="E3086" s="7" t="str">
        <f>"李晓涵"</f>
        <v>李晓涵</v>
      </c>
      <c r="F3086" s="7" t="str">
        <f t="shared" si="720"/>
        <v>女</v>
      </c>
      <c r="G3086" s="7" t="s">
        <v>2554</v>
      </c>
      <c r="H3086" s="8"/>
    </row>
    <row r="3087" ht="25" customHeight="1" spans="1:8">
      <c r="A3087" s="6">
        <v>3085</v>
      </c>
      <c r="B3087" s="7" t="str">
        <f t="shared" si="713"/>
        <v>213</v>
      </c>
      <c r="C3087" s="7" t="s">
        <v>2468</v>
      </c>
      <c r="D3087" s="7" t="s">
        <v>2306</v>
      </c>
      <c r="E3087" s="7" t="str">
        <f>"冯臣妍"</f>
        <v>冯臣妍</v>
      </c>
      <c r="F3087" s="7" t="str">
        <f t="shared" si="720"/>
        <v>女</v>
      </c>
      <c r="G3087" s="7" t="s">
        <v>2555</v>
      </c>
      <c r="H3087" s="8"/>
    </row>
    <row r="3088" ht="25" customHeight="1" spans="1:8">
      <c r="A3088" s="6">
        <v>3086</v>
      </c>
      <c r="B3088" s="7" t="str">
        <f t="shared" si="713"/>
        <v>213</v>
      </c>
      <c r="C3088" s="7" t="s">
        <v>2468</v>
      </c>
      <c r="D3088" s="7" t="s">
        <v>2306</v>
      </c>
      <c r="E3088" s="7" t="str">
        <f>"石虹"</f>
        <v>石虹</v>
      </c>
      <c r="F3088" s="7" t="str">
        <f t="shared" si="720"/>
        <v>女</v>
      </c>
      <c r="G3088" s="7" t="s">
        <v>338</v>
      </c>
      <c r="H3088" s="8"/>
    </row>
    <row r="3089" ht="25" customHeight="1" spans="1:8">
      <c r="A3089" s="6">
        <v>3087</v>
      </c>
      <c r="B3089" s="7" t="str">
        <f t="shared" si="713"/>
        <v>213</v>
      </c>
      <c r="C3089" s="7" t="s">
        <v>2468</v>
      </c>
      <c r="D3089" s="7" t="s">
        <v>2306</v>
      </c>
      <c r="E3089" s="7" t="str">
        <f>"陈廷慧"</f>
        <v>陈廷慧</v>
      </c>
      <c r="F3089" s="7" t="str">
        <f t="shared" si="720"/>
        <v>女</v>
      </c>
      <c r="G3089" s="7" t="s">
        <v>2242</v>
      </c>
      <c r="H3089" s="8"/>
    </row>
    <row r="3090" ht="25" customHeight="1" spans="1:8">
      <c r="A3090" s="6">
        <v>3088</v>
      </c>
      <c r="B3090" s="7" t="str">
        <f t="shared" si="713"/>
        <v>213</v>
      </c>
      <c r="C3090" s="7" t="s">
        <v>2468</v>
      </c>
      <c r="D3090" s="7" t="s">
        <v>2306</v>
      </c>
      <c r="E3090" s="7" t="str">
        <f>"万华玲"</f>
        <v>万华玲</v>
      </c>
      <c r="F3090" s="7" t="str">
        <f t="shared" si="720"/>
        <v>女</v>
      </c>
      <c r="G3090" s="7" t="s">
        <v>2556</v>
      </c>
      <c r="H3090" s="8"/>
    </row>
    <row r="3091" ht="25" customHeight="1" spans="1:8">
      <c r="A3091" s="6">
        <v>3089</v>
      </c>
      <c r="B3091" s="7" t="str">
        <f t="shared" si="713"/>
        <v>213</v>
      </c>
      <c r="C3091" s="7" t="s">
        <v>2468</v>
      </c>
      <c r="D3091" s="7" t="s">
        <v>2306</v>
      </c>
      <c r="E3091" s="7" t="str">
        <f>"陈亚慧"</f>
        <v>陈亚慧</v>
      </c>
      <c r="F3091" s="7" t="str">
        <f t="shared" si="720"/>
        <v>女</v>
      </c>
      <c r="G3091" s="7" t="s">
        <v>2557</v>
      </c>
      <c r="H3091" s="8"/>
    </row>
    <row r="3092" ht="25" customHeight="1" spans="1:8">
      <c r="A3092" s="6">
        <v>3090</v>
      </c>
      <c r="B3092" s="7" t="str">
        <f t="shared" si="713"/>
        <v>213</v>
      </c>
      <c r="C3092" s="7" t="s">
        <v>2468</v>
      </c>
      <c r="D3092" s="7" t="s">
        <v>2306</v>
      </c>
      <c r="E3092" s="7" t="str">
        <f>"陈运宇"</f>
        <v>陈运宇</v>
      </c>
      <c r="F3092" s="7" t="str">
        <f t="shared" si="720"/>
        <v>女</v>
      </c>
      <c r="G3092" s="7" t="s">
        <v>1355</v>
      </c>
      <c r="H3092" s="8"/>
    </row>
    <row r="3093" ht="25" customHeight="1" spans="1:8">
      <c r="A3093" s="6">
        <v>3091</v>
      </c>
      <c r="B3093" s="7" t="str">
        <f t="shared" si="713"/>
        <v>213</v>
      </c>
      <c r="C3093" s="7" t="s">
        <v>2468</v>
      </c>
      <c r="D3093" s="7" t="s">
        <v>2306</v>
      </c>
      <c r="E3093" s="7" t="str">
        <f>"白雪"</f>
        <v>白雪</v>
      </c>
      <c r="F3093" s="7" t="str">
        <f t="shared" si="720"/>
        <v>女</v>
      </c>
      <c r="G3093" s="7" t="s">
        <v>2558</v>
      </c>
      <c r="H3093" s="8"/>
    </row>
    <row r="3094" ht="25" customHeight="1" spans="1:8">
      <c r="A3094" s="6">
        <v>3092</v>
      </c>
      <c r="B3094" s="7" t="str">
        <f t="shared" si="713"/>
        <v>213</v>
      </c>
      <c r="C3094" s="7" t="s">
        <v>2468</v>
      </c>
      <c r="D3094" s="7" t="s">
        <v>2306</v>
      </c>
      <c r="E3094" s="7" t="str">
        <f>"高曼"</f>
        <v>高曼</v>
      </c>
      <c r="F3094" s="7" t="str">
        <f t="shared" si="720"/>
        <v>女</v>
      </c>
      <c r="G3094" s="7" t="s">
        <v>2559</v>
      </c>
      <c r="H3094" s="8"/>
    </row>
    <row r="3095" ht="25" customHeight="1" spans="1:8">
      <c r="A3095" s="6">
        <v>3093</v>
      </c>
      <c r="B3095" s="7" t="str">
        <f t="shared" si="713"/>
        <v>213</v>
      </c>
      <c r="C3095" s="7" t="s">
        <v>2468</v>
      </c>
      <c r="D3095" s="7" t="s">
        <v>2306</v>
      </c>
      <c r="E3095" s="7" t="str">
        <f>"符畅"</f>
        <v>符畅</v>
      </c>
      <c r="F3095" s="7" t="str">
        <f>"男"</f>
        <v>男</v>
      </c>
      <c r="G3095" s="7" t="s">
        <v>2560</v>
      </c>
      <c r="H3095" s="8"/>
    </row>
    <row r="3096" ht="25" customHeight="1" spans="1:8">
      <c r="A3096" s="6">
        <v>3094</v>
      </c>
      <c r="B3096" s="7" t="str">
        <f t="shared" ref="B3096:B3133" si="721">"214"</f>
        <v>214</v>
      </c>
      <c r="C3096" s="7" t="s">
        <v>2561</v>
      </c>
      <c r="D3096" s="7" t="s">
        <v>2306</v>
      </c>
      <c r="E3096" s="7" t="str">
        <f>"吴温丽"</f>
        <v>吴温丽</v>
      </c>
      <c r="F3096" s="7" t="str">
        <f t="shared" ref="F3096:F3113" si="722">"女"</f>
        <v>女</v>
      </c>
      <c r="G3096" s="7" t="s">
        <v>2562</v>
      </c>
      <c r="H3096" s="8"/>
    </row>
    <row r="3097" ht="25" customHeight="1" spans="1:8">
      <c r="A3097" s="6">
        <v>3095</v>
      </c>
      <c r="B3097" s="7" t="str">
        <f t="shared" si="721"/>
        <v>214</v>
      </c>
      <c r="C3097" s="7" t="s">
        <v>2561</v>
      </c>
      <c r="D3097" s="7" t="s">
        <v>2306</v>
      </c>
      <c r="E3097" s="7" t="str">
        <f>"许艳婷"</f>
        <v>许艳婷</v>
      </c>
      <c r="F3097" s="7" t="str">
        <f t="shared" si="722"/>
        <v>女</v>
      </c>
      <c r="G3097" s="7" t="s">
        <v>898</v>
      </c>
      <c r="H3097" s="8"/>
    </row>
    <row r="3098" ht="25" customHeight="1" spans="1:8">
      <c r="A3098" s="6">
        <v>3096</v>
      </c>
      <c r="B3098" s="7" t="str">
        <f t="shared" si="721"/>
        <v>214</v>
      </c>
      <c r="C3098" s="7" t="s">
        <v>2561</v>
      </c>
      <c r="D3098" s="7" t="s">
        <v>2306</v>
      </c>
      <c r="E3098" s="7" t="str">
        <f>"程堋"</f>
        <v>程堋</v>
      </c>
      <c r="F3098" s="7" t="str">
        <f>"男"</f>
        <v>男</v>
      </c>
      <c r="G3098" s="7" t="s">
        <v>2563</v>
      </c>
      <c r="H3098" s="8"/>
    </row>
    <row r="3099" ht="25" customHeight="1" spans="1:8">
      <c r="A3099" s="6">
        <v>3097</v>
      </c>
      <c r="B3099" s="7" t="str">
        <f t="shared" si="721"/>
        <v>214</v>
      </c>
      <c r="C3099" s="7" t="s">
        <v>2561</v>
      </c>
      <c r="D3099" s="7" t="s">
        <v>2306</v>
      </c>
      <c r="E3099" s="7" t="str">
        <f>"陈彩玉"</f>
        <v>陈彩玉</v>
      </c>
      <c r="F3099" s="7" t="str">
        <f t="shared" si="722"/>
        <v>女</v>
      </c>
      <c r="G3099" s="7" t="s">
        <v>2042</v>
      </c>
      <c r="H3099" s="8"/>
    </row>
    <row r="3100" ht="25" customHeight="1" spans="1:8">
      <c r="A3100" s="6">
        <v>3098</v>
      </c>
      <c r="B3100" s="7" t="str">
        <f t="shared" si="721"/>
        <v>214</v>
      </c>
      <c r="C3100" s="7" t="s">
        <v>2561</v>
      </c>
      <c r="D3100" s="7" t="s">
        <v>2306</v>
      </c>
      <c r="E3100" s="7" t="str">
        <f>"郭周凤"</f>
        <v>郭周凤</v>
      </c>
      <c r="F3100" s="7" t="str">
        <f t="shared" si="722"/>
        <v>女</v>
      </c>
      <c r="G3100" s="7" t="s">
        <v>2564</v>
      </c>
      <c r="H3100" s="8"/>
    </row>
    <row r="3101" ht="25" customHeight="1" spans="1:8">
      <c r="A3101" s="6">
        <v>3099</v>
      </c>
      <c r="B3101" s="7" t="str">
        <f t="shared" si="721"/>
        <v>214</v>
      </c>
      <c r="C3101" s="7" t="s">
        <v>2561</v>
      </c>
      <c r="D3101" s="7" t="s">
        <v>2306</v>
      </c>
      <c r="E3101" s="7" t="str">
        <f>"裴子音"</f>
        <v>裴子音</v>
      </c>
      <c r="F3101" s="7" t="str">
        <f t="shared" si="722"/>
        <v>女</v>
      </c>
      <c r="G3101" s="7" t="s">
        <v>2565</v>
      </c>
      <c r="H3101" s="8"/>
    </row>
    <row r="3102" ht="25" customHeight="1" spans="1:8">
      <c r="A3102" s="6">
        <v>3100</v>
      </c>
      <c r="B3102" s="7" t="str">
        <f t="shared" si="721"/>
        <v>214</v>
      </c>
      <c r="C3102" s="7" t="s">
        <v>2561</v>
      </c>
      <c r="D3102" s="7" t="s">
        <v>2306</v>
      </c>
      <c r="E3102" s="7" t="str">
        <f>"唐子得"</f>
        <v>唐子得</v>
      </c>
      <c r="F3102" s="7" t="str">
        <f t="shared" si="722"/>
        <v>女</v>
      </c>
      <c r="G3102" s="7" t="s">
        <v>2566</v>
      </c>
      <c r="H3102" s="8"/>
    </row>
    <row r="3103" ht="25" customHeight="1" spans="1:8">
      <c r="A3103" s="6">
        <v>3101</v>
      </c>
      <c r="B3103" s="7" t="str">
        <f t="shared" si="721"/>
        <v>214</v>
      </c>
      <c r="C3103" s="7" t="s">
        <v>2561</v>
      </c>
      <c r="D3103" s="7" t="s">
        <v>2306</v>
      </c>
      <c r="E3103" s="7" t="str">
        <f>"杨蓝英"</f>
        <v>杨蓝英</v>
      </c>
      <c r="F3103" s="7" t="str">
        <f t="shared" si="722"/>
        <v>女</v>
      </c>
      <c r="G3103" s="7" t="s">
        <v>665</v>
      </c>
      <c r="H3103" s="8"/>
    </row>
    <row r="3104" ht="25" customHeight="1" spans="1:8">
      <c r="A3104" s="6">
        <v>3102</v>
      </c>
      <c r="B3104" s="7" t="str">
        <f t="shared" si="721"/>
        <v>214</v>
      </c>
      <c r="C3104" s="7" t="s">
        <v>2561</v>
      </c>
      <c r="D3104" s="7" t="s">
        <v>2306</v>
      </c>
      <c r="E3104" s="7" t="str">
        <f>"吴林丹"</f>
        <v>吴林丹</v>
      </c>
      <c r="F3104" s="7" t="str">
        <f t="shared" si="722"/>
        <v>女</v>
      </c>
      <c r="G3104" s="7" t="s">
        <v>2260</v>
      </c>
      <c r="H3104" s="8"/>
    </row>
    <row r="3105" ht="25" customHeight="1" spans="1:8">
      <c r="A3105" s="6">
        <v>3103</v>
      </c>
      <c r="B3105" s="7" t="str">
        <f t="shared" si="721"/>
        <v>214</v>
      </c>
      <c r="C3105" s="7" t="s">
        <v>2561</v>
      </c>
      <c r="D3105" s="7" t="s">
        <v>2306</v>
      </c>
      <c r="E3105" s="7" t="str">
        <f>"李梦梅"</f>
        <v>李梦梅</v>
      </c>
      <c r="F3105" s="7" t="str">
        <f t="shared" si="722"/>
        <v>女</v>
      </c>
      <c r="G3105" s="7" t="s">
        <v>2057</v>
      </c>
      <c r="H3105" s="8"/>
    </row>
    <row r="3106" ht="25" customHeight="1" spans="1:8">
      <c r="A3106" s="6">
        <v>3104</v>
      </c>
      <c r="B3106" s="7" t="str">
        <f t="shared" si="721"/>
        <v>214</v>
      </c>
      <c r="C3106" s="7" t="s">
        <v>2561</v>
      </c>
      <c r="D3106" s="7" t="s">
        <v>2306</v>
      </c>
      <c r="E3106" s="7" t="str">
        <f>"任娇"</f>
        <v>任娇</v>
      </c>
      <c r="F3106" s="7" t="str">
        <f t="shared" si="722"/>
        <v>女</v>
      </c>
      <c r="G3106" s="7" t="s">
        <v>2567</v>
      </c>
      <c r="H3106" s="8"/>
    </row>
    <row r="3107" ht="25" customHeight="1" spans="1:8">
      <c r="A3107" s="6">
        <v>3105</v>
      </c>
      <c r="B3107" s="7" t="str">
        <f t="shared" si="721"/>
        <v>214</v>
      </c>
      <c r="C3107" s="7" t="s">
        <v>2561</v>
      </c>
      <c r="D3107" s="7" t="s">
        <v>2306</v>
      </c>
      <c r="E3107" s="7" t="str">
        <f>"罗张芬"</f>
        <v>罗张芬</v>
      </c>
      <c r="F3107" s="7" t="str">
        <f t="shared" si="722"/>
        <v>女</v>
      </c>
      <c r="G3107" s="7" t="s">
        <v>2568</v>
      </c>
      <c r="H3107" s="8"/>
    </row>
    <row r="3108" ht="25" customHeight="1" spans="1:8">
      <c r="A3108" s="6">
        <v>3106</v>
      </c>
      <c r="B3108" s="7" t="str">
        <f t="shared" si="721"/>
        <v>214</v>
      </c>
      <c r="C3108" s="7" t="s">
        <v>2561</v>
      </c>
      <c r="D3108" s="7" t="s">
        <v>2306</v>
      </c>
      <c r="E3108" s="7" t="str">
        <f>"王一萍"</f>
        <v>王一萍</v>
      </c>
      <c r="F3108" s="7" t="str">
        <f t="shared" si="722"/>
        <v>女</v>
      </c>
      <c r="G3108" s="7" t="s">
        <v>248</v>
      </c>
      <c r="H3108" s="8"/>
    </row>
    <row r="3109" ht="25" customHeight="1" spans="1:8">
      <c r="A3109" s="6">
        <v>3107</v>
      </c>
      <c r="B3109" s="7" t="str">
        <f t="shared" si="721"/>
        <v>214</v>
      </c>
      <c r="C3109" s="7" t="s">
        <v>2561</v>
      </c>
      <c r="D3109" s="7" t="s">
        <v>2306</v>
      </c>
      <c r="E3109" s="7" t="str">
        <f>"桂琪丽"</f>
        <v>桂琪丽</v>
      </c>
      <c r="F3109" s="7" t="str">
        <f t="shared" si="722"/>
        <v>女</v>
      </c>
      <c r="G3109" s="7" t="s">
        <v>2569</v>
      </c>
      <c r="H3109" s="8"/>
    </row>
    <row r="3110" ht="25" customHeight="1" spans="1:8">
      <c r="A3110" s="6">
        <v>3108</v>
      </c>
      <c r="B3110" s="7" t="str">
        <f t="shared" si="721"/>
        <v>214</v>
      </c>
      <c r="C3110" s="7" t="s">
        <v>2561</v>
      </c>
      <c r="D3110" s="7" t="s">
        <v>2306</v>
      </c>
      <c r="E3110" s="7" t="str">
        <f>"杨嘉琳"</f>
        <v>杨嘉琳</v>
      </c>
      <c r="F3110" s="7" t="str">
        <f t="shared" si="722"/>
        <v>女</v>
      </c>
      <c r="G3110" s="7" t="s">
        <v>2570</v>
      </c>
      <c r="H3110" s="8"/>
    </row>
    <row r="3111" ht="25" customHeight="1" spans="1:8">
      <c r="A3111" s="6">
        <v>3109</v>
      </c>
      <c r="B3111" s="7" t="str">
        <f t="shared" si="721"/>
        <v>214</v>
      </c>
      <c r="C3111" s="7" t="s">
        <v>2561</v>
      </c>
      <c r="D3111" s="7" t="s">
        <v>2306</v>
      </c>
      <c r="E3111" s="7" t="str">
        <f>"冼燕敏"</f>
        <v>冼燕敏</v>
      </c>
      <c r="F3111" s="7" t="str">
        <f t="shared" si="722"/>
        <v>女</v>
      </c>
      <c r="G3111" s="7" t="s">
        <v>2393</v>
      </c>
      <c r="H3111" s="8"/>
    </row>
    <row r="3112" ht="25" customHeight="1" spans="1:8">
      <c r="A3112" s="6">
        <v>3110</v>
      </c>
      <c r="B3112" s="7" t="str">
        <f t="shared" si="721"/>
        <v>214</v>
      </c>
      <c r="C3112" s="7" t="s">
        <v>2561</v>
      </c>
      <c r="D3112" s="7" t="s">
        <v>2306</v>
      </c>
      <c r="E3112" s="7" t="str">
        <f>"苏英芳"</f>
        <v>苏英芳</v>
      </c>
      <c r="F3112" s="7" t="str">
        <f t="shared" si="722"/>
        <v>女</v>
      </c>
      <c r="G3112" s="7" t="s">
        <v>93</v>
      </c>
      <c r="H3112" s="8"/>
    </row>
    <row r="3113" ht="25" customHeight="1" spans="1:8">
      <c r="A3113" s="6">
        <v>3111</v>
      </c>
      <c r="B3113" s="7" t="str">
        <f t="shared" si="721"/>
        <v>214</v>
      </c>
      <c r="C3113" s="7" t="s">
        <v>2561</v>
      </c>
      <c r="D3113" s="7" t="s">
        <v>2306</v>
      </c>
      <c r="E3113" s="7" t="str">
        <f>"王仪"</f>
        <v>王仪</v>
      </c>
      <c r="F3113" s="7" t="str">
        <f t="shared" si="722"/>
        <v>女</v>
      </c>
      <c r="G3113" s="7" t="s">
        <v>633</v>
      </c>
      <c r="H3113" s="8"/>
    </row>
    <row r="3114" ht="25" customHeight="1" spans="1:8">
      <c r="A3114" s="6">
        <v>3112</v>
      </c>
      <c r="B3114" s="7" t="str">
        <f t="shared" si="721"/>
        <v>214</v>
      </c>
      <c r="C3114" s="7" t="s">
        <v>2561</v>
      </c>
      <c r="D3114" s="7" t="s">
        <v>2306</v>
      </c>
      <c r="E3114" s="7" t="str">
        <f>"潘孟涛"</f>
        <v>潘孟涛</v>
      </c>
      <c r="F3114" s="7" t="str">
        <f>"男"</f>
        <v>男</v>
      </c>
      <c r="G3114" s="7" t="s">
        <v>2571</v>
      </c>
      <c r="H3114" s="8"/>
    </row>
    <row r="3115" ht="25" customHeight="1" spans="1:8">
      <c r="A3115" s="6">
        <v>3113</v>
      </c>
      <c r="B3115" s="7" t="str">
        <f t="shared" si="721"/>
        <v>214</v>
      </c>
      <c r="C3115" s="7" t="s">
        <v>2561</v>
      </c>
      <c r="D3115" s="7" t="s">
        <v>2306</v>
      </c>
      <c r="E3115" s="7" t="str">
        <f>"李晓莹"</f>
        <v>李晓莹</v>
      </c>
      <c r="F3115" s="7" t="str">
        <f t="shared" ref="F3115:F3142" si="723">"女"</f>
        <v>女</v>
      </c>
      <c r="G3115" s="7" t="s">
        <v>2572</v>
      </c>
      <c r="H3115" s="8"/>
    </row>
    <row r="3116" ht="25" customHeight="1" spans="1:8">
      <c r="A3116" s="6">
        <v>3114</v>
      </c>
      <c r="B3116" s="7" t="str">
        <f t="shared" si="721"/>
        <v>214</v>
      </c>
      <c r="C3116" s="7" t="s">
        <v>2561</v>
      </c>
      <c r="D3116" s="7" t="s">
        <v>2306</v>
      </c>
      <c r="E3116" s="7" t="str">
        <f>"林倩柳"</f>
        <v>林倩柳</v>
      </c>
      <c r="F3116" s="7" t="str">
        <f t="shared" si="723"/>
        <v>女</v>
      </c>
      <c r="G3116" s="7" t="s">
        <v>790</v>
      </c>
      <c r="H3116" s="8"/>
    </row>
    <row r="3117" ht="25" customHeight="1" spans="1:8">
      <c r="A3117" s="6">
        <v>3115</v>
      </c>
      <c r="B3117" s="7" t="str">
        <f t="shared" si="721"/>
        <v>214</v>
      </c>
      <c r="C3117" s="7" t="s">
        <v>2561</v>
      </c>
      <c r="D3117" s="7" t="s">
        <v>2306</v>
      </c>
      <c r="E3117" s="7" t="str">
        <f>"符亚恋"</f>
        <v>符亚恋</v>
      </c>
      <c r="F3117" s="7" t="str">
        <f t="shared" si="723"/>
        <v>女</v>
      </c>
      <c r="G3117" s="7" t="s">
        <v>2573</v>
      </c>
      <c r="H3117" s="8"/>
    </row>
    <row r="3118" ht="25" customHeight="1" spans="1:8">
      <c r="A3118" s="6">
        <v>3116</v>
      </c>
      <c r="B3118" s="7" t="str">
        <f t="shared" si="721"/>
        <v>214</v>
      </c>
      <c r="C3118" s="7" t="s">
        <v>2561</v>
      </c>
      <c r="D3118" s="7" t="s">
        <v>2306</v>
      </c>
      <c r="E3118" s="7" t="str">
        <f>"李爱娟"</f>
        <v>李爱娟</v>
      </c>
      <c r="F3118" s="7" t="str">
        <f t="shared" si="723"/>
        <v>女</v>
      </c>
      <c r="G3118" s="7" t="s">
        <v>2574</v>
      </c>
      <c r="H3118" s="8"/>
    </row>
    <row r="3119" ht="25" customHeight="1" spans="1:8">
      <c r="A3119" s="6">
        <v>3117</v>
      </c>
      <c r="B3119" s="7" t="str">
        <f t="shared" si="721"/>
        <v>214</v>
      </c>
      <c r="C3119" s="7" t="s">
        <v>2561</v>
      </c>
      <c r="D3119" s="7" t="s">
        <v>2306</v>
      </c>
      <c r="E3119" s="7" t="str">
        <f>"陈琰"</f>
        <v>陈琰</v>
      </c>
      <c r="F3119" s="7" t="str">
        <f t="shared" si="723"/>
        <v>女</v>
      </c>
      <c r="G3119" s="7" t="s">
        <v>2575</v>
      </c>
      <c r="H3119" s="8"/>
    </row>
    <row r="3120" ht="25" customHeight="1" spans="1:8">
      <c r="A3120" s="6">
        <v>3118</v>
      </c>
      <c r="B3120" s="7" t="str">
        <f t="shared" si="721"/>
        <v>214</v>
      </c>
      <c r="C3120" s="7" t="s">
        <v>2561</v>
      </c>
      <c r="D3120" s="7" t="s">
        <v>2306</v>
      </c>
      <c r="E3120" s="7" t="str">
        <f>"何书芸"</f>
        <v>何书芸</v>
      </c>
      <c r="F3120" s="7" t="str">
        <f t="shared" si="723"/>
        <v>女</v>
      </c>
      <c r="G3120" s="7" t="s">
        <v>475</v>
      </c>
      <c r="H3120" s="8"/>
    </row>
    <row r="3121" ht="25" customHeight="1" spans="1:8">
      <c r="A3121" s="6">
        <v>3119</v>
      </c>
      <c r="B3121" s="7" t="str">
        <f t="shared" si="721"/>
        <v>214</v>
      </c>
      <c r="C3121" s="7" t="s">
        <v>2561</v>
      </c>
      <c r="D3121" s="7" t="s">
        <v>2306</v>
      </c>
      <c r="E3121" s="7" t="str">
        <f>"郑楚楚"</f>
        <v>郑楚楚</v>
      </c>
      <c r="F3121" s="7" t="str">
        <f t="shared" si="723"/>
        <v>女</v>
      </c>
      <c r="G3121" s="7" t="s">
        <v>2576</v>
      </c>
      <c r="H3121" s="8"/>
    </row>
    <row r="3122" ht="25" customHeight="1" spans="1:8">
      <c r="A3122" s="6">
        <v>3120</v>
      </c>
      <c r="B3122" s="7" t="str">
        <f t="shared" si="721"/>
        <v>214</v>
      </c>
      <c r="C3122" s="7" t="s">
        <v>2561</v>
      </c>
      <c r="D3122" s="7" t="s">
        <v>2306</v>
      </c>
      <c r="E3122" s="7" t="str">
        <f>"邢至佳"</f>
        <v>邢至佳</v>
      </c>
      <c r="F3122" s="7" t="str">
        <f t="shared" si="723"/>
        <v>女</v>
      </c>
      <c r="G3122" s="7" t="s">
        <v>2042</v>
      </c>
      <c r="H3122" s="8"/>
    </row>
    <row r="3123" ht="25" customHeight="1" spans="1:8">
      <c r="A3123" s="6">
        <v>3121</v>
      </c>
      <c r="B3123" s="7" t="str">
        <f t="shared" si="721"/>
        <v>214</v>
      </c>
      <c r="C3123" s="7" t="s">
        <v>2561</v>
      </c>
      <c r="D3123" s="7" t="s">
        <v>2306</v>
      </c>
      <c r="E3123" s="7" t="str">
        <f>"吴晓慧"</f>
        <v>吴晓慧</v>
      </c>
      <c r="F3123" s="7" t="str">
        <f t="shared" si="723"/>
        <v>女</v>
      </c>
      <c r="G3123" s="7" t="s">
        <v>1264</v>
      </c>
      <c r="H3123" s="8"/>
    </row>
    <row r="3124" ht="25" customHeight="1" spans="1:8">
      <c r="A3124" s="6">
        <v>3122</v>
      </c>
      <c r="B3124" s="7" t="str">
        <f t="shared" si="721"/>
        <v>214</v>
      </c>
      <c r="C3124" s="7" t="s">
        <v>2561</v>
      </c>
      <c r="D3124" s="7" t="s">
        <v>2306</v>
      </c>
      <c r="E3124" s="7" t="str">
        <f>"黄晓樱"</f>
        <v>黄晓樱</v>
      </c>
      <c r="F3124" s="7" t="str">
        <f t="shared" si="723"/>
        <v>女</v>
      </c>
      <c r="G3124" s="7" t="s">
        <v>2577</v>
      </c>
      <c r="H3124" s="8"/>
    </row>
    <row r="3125" ht="25" customHeight="1" spans="1:8">
      <c r="A3125" s="6">
        <v>3123</v>
      </c>
      <c r="B3125" s="7" t="str">
        <f t="shared" si="721"/>
        <v>214</v>
      </c>
      <c r="C3125" s="7" t="s">
        <v>2561</v>
      </c>
      <c r="D3125" s="7" t="s">
        <v>2306</v>
      </c>
      <c r="E3125" s="7" t="str">
        <f>"王乐乐"</f>
        <v>王乐乐</v>
      </c>
      <c r="F3125" s="7" t="str">
        <f t="shared" si="723"/>
        <v>女</v>
      </c>
      <c r="G3125" s="7" t="s">
        <v>2578</v>
      </c>
      <c r="H3125" s="8"/>
    </row>
    <row r="3126" ht="25" customHeight="1" spans="1:8">
      <c r="A3126" s="6">
        <v>3124</v>
      </c>
      <c r="B3126" s="7" t="str">
        <f t="shared" si="721"/>
        <v>214</v>
      </c>
      <c r="C3126" s="7" t="s">
        <v>2561</v>
      </c>
      <c r="D3126" s="7" t="s">
        <v>2306</v>
      </c>
      <c r="E3126" s="7" t="str">
        <f>"周秋雪"</f>
        <v>周秋雪</v>
      </c>
      <c r="F3126" s="7" t="str">
        <f t="shared" si="723"/>
        <v>女</v>
      </c>
      <c r="G3126" s="7" t="s">
        <v>2532</v>
      </c>
      <c r="H3126" s="8"/>
    </row>
    <row r="3127" ht="25" customHeight="1" spans="1:8">
      <c r="A3127" s="6">
        <v>3125</v>
      </c>
      <c r="B3127" s="7" t="str">
        <f t="shared" si="721"/>
        <v>214</v>
      </c>
      <c r="C3127" s="7" t="s">
        <v>2561</v>
      </c>
      <c r="D3127" s="7" t="s">
        <v>2306</v>
      </c>
      <c r="E3127" s="7" t="str">
        <f>"李海霞"</f>
        <v>李海霞</v>
      </c>
      <c r="F3127" s="7" t="str">
        <f t="shared" si="723"/>
        <v>女</v>
      </c>
      <c r="G3127" s="7" t="s">
        <v>2579</v>
      </c>
      <c r="H3127" s="8"/>
    </row>
    <row r="3128" ht="25" customHeight="1" spans="1:8">
      <c r="A3128" s="6">
        <v>3126</v>
      </c>
      <c r="B3128" s="7" t="str">
        <f t="shared" si="721"/>
        <v>214</v>
      </c>
      <c r="C3128" s="7" t="s">
        <v>2561</v>
      </c>
      <c r="D3128" s="7" t="s">
        <v>2306</v>
      </c>
      <c r="E3128" s="7" t="str">
        <f>"高忠霞"</f>
        <v>高忠霞</v>
      </c>
      <c r="F3128" s="7" t="str">
        <f t="shared" si="723"/>
        <v>女</v>
      </c>
      <c r="G3128" s="7" t="s">
        <v>575</v>
      </c>
      <c r="H3128" s="8"/>
    </row>
    <row r="3129" ht="25" customHeight="1" spans="1:8">
      <c r="A3129" s="6">
        <v>3127</v>
      </c>
      <c r="B3129" s="7" t="str">
        <f t="shared" si="721"/>
        <v>214</v>
      </c>
      <c r="C3129" s="7" t="s">
        <v>2561</v>
      </c>
      <c r="D3129" s="7" t="s">
        <v>2306</v>
      </c>
      <c r="E3129" s="7" t="str">
        <f>"周琼丽"</f>
        <v>周琼丽</v>
      </c>
      <c r="F3129" s="7" t="str">
        <f t="shared" si="723"/>
        <v>女</v>
      </c>
      <c r="G3129" s="7" t="s">
        <v>2580</v>
      </c>
      <c r="H3129" s="8"/>
    </row>
    <row r="3130" ht="25" customHeight="1" spans="1:8">
      <c r="A3130" s="6">
        <v>3128</v>
      </c>
      <c r="B3130" s="7" t="str">
        <f t="shared" si="721"/>
        <v>214</v>
      </c>
      <c r="C3130" s="7" t="s">
        <v>2561</v>
      </c>
      <c r="D3130" s="7" t="s">
        <v>2306</v>
      </c>
      <c r="E3130" s="7" t="str">
        <f>"王哲娜"</f>
        <v>王哲娜</v>
      </c>
      <c r="F3130" s="7" t="str">
        <f t="shared" si="723"/>
        <v>女</v>
      </c>
      <c r="G3130" s="7" t="s">
        <v>459</v>
      </c>
      <c r="H3130" s="8"/>
    </row>
    <row r="3131" ht="25" customHeight="1" spans="1:8">
      <c r="A3131" s="6">
        <v>3129</v>
      </c>
      <c r="B3131" s="7" t="str">
        <f t="shared" si="721"/>
        <v>214</v>
      </c>
      <c r="C3131" s="7" t="s">
        <v>2561</v>
      </c>
      <c r="D3131" s="7" t="s">
        <v>2306</v>
      </c>
      <c r="E3131" s="7" t="str">
        <f>"黄果果"</f>
        <v>黄果果</v>
      </c>
      <c r="F3131" s="7" t="str">
        <f t="shared" si="723"/>
        <v>女</v>
      </c>
      <c r="G3131" s="7" t="s">
        <v>2581</v>
      </c>
      <c r="H3131" s="8"/>
    </row>
    <row r="3132" ht="25" customHeight="1" spans="1:8">
      <c r="A3132" s="6">
        <v>3130</v>
      </c>
      <c r="B3132" s="7" t="str">
        <f t="shared" si="721"/>
        <v>214</v>
      </c>
      <c r="C3132" s="7" t="s">
        <v>2561</v>
      </c>
      <c r="D3132" s="7" t="s">
        <v>2306</v>
      </c>
      <c r="E3132" s="7" t="str">
        <f>"麦琴琴"</f>
        <v>麦琴琴</v>
      </c>
      <c r="F3132" s="7" t="str">
        <f t="shared" si="723"/>
        <v>女</v>
      </c>
      <c r="G3132" s="7" t="s">
        <v>942</v>
      </c>
      <c r="H3132" s="8"/>
    </row>
    <row r="3133" ht="25" customHeight="1" spans="1:8">
      <c r="A3133" s="6">
        <v>3131</v>
      </c>
      <c r="B3133" s="7" t="str">
        <f t="shared" si="721"/>
        <v>214</v>
      </c>
      <c r="C3133" s="7" t="s">
        <v>2561</v>
      </c>
      <c r="D3133" s="7" t="s">
        <v>2306</v>
      </c>
      <c r="E3133" s="7" t="str">
        <f>"张紫彤"</f>
        <v>张紫彤</v>
      </c>
      <c r="F3133" s="7" t="str">
        <f t="shared" si="723"/>
        <v>女</v>
      </c>
      <c r="G3133" s="7" t="s">
        <v>2582</v>
      </c>
      <c r="H3133" s="8"/>
    </row>
    <row r="3134" ht="25" customHeight="1" spans="1:8">
      <c r="A3134" s="6">
        <v>3132</v>
      </c>
      <c r="B3134" s="7" t="str">
        <f t="shared" ref="B3134:B3197" si="724">"301"</f>
        <v>301</v>
      </c>
      <c r="C3134" s="7" t="s">
        <v>2583</v>
      </c>
      <c r="D3134" s="7" t="s">
        <v>2584</v>
      </c>
      <c r="E3134" s="7" t="str">
        <f>"潘科言"</f>
        <v>潘科言</v>
      </c>
      <c r="F3134" s="7" t="str">
        <f t="shared" si="723"/>
        <v>女</v>
      </c>
      <c r="G3134" s="7" t="s">
        <v>2585</v>
      </c>
      <c r="H3134" s="8"/>
    </row>
    <row r="3135" ht="25" customHeight="1" spans="1:8">
      <c r="A3135" s="6">
        <v>3133</v>
      </c>
      <c r="B3135" s="7" t="str">
        <f t="shared" si="724"/>
        <v>301</v>
      </c>
      <c r="C3135" s="7" t="s">
        <v>2583</v>
      </c>
      <c r="D3135" s="7" t="s">
        <v>2584</v>
      </c>
      <c r="E3135" s="7" t="str">
        <f>"张昱"</f>
        <v>张昱</v>
      </c>
      <c r="F3135" s="7" t="str">
        <f t="shared" si="723"/>
        <v>女</v>
      </c>
      <c r="G3135" s="7" t="s">
        <v>2586</v>
      </c>
      <c r="H3135" s="8"/>
    </row>
    <row r="3136" ht="25" customHeight="1" spans="1:8">
      <c r="A3136" s="6">
        <v>3134</v>
      </c>
      <c r="B3136" s="7" t="str">
        <f t="shared" si="724"/>
        <v>301</v>
      </c>
      <c r="C3136" s="7" t="s">
        <v>2583</v>
      </c>
      <c r="D3136" s="7" t="s">
        <v>2584</v>
      </c>
      <c r="E3136" s="7" t="str">
        <f>"何晓敏"</f>
        <v>何晓敏</v>
      </c>
      <c r="F3136" s="7" t="str">
        <f t="shared" si="723"/>
        <v>女</v>
      </c>
      <c r="G3136" s="7" t="s">
        <v>2587</v>
      </c>
      <c r="H3136" s="8"/>
    </row>
    <row r="3137" ht="25" customHeight="1" spans="1:8">
      <c r="A3137" s="6">
        <v>3135</v>
      </c>
      <c r="B3137" s="7" t="str">
        <f t="shared" si="724"/>
        <v>301</v>
      </c>
      <c r="C3137" s="7" t="s">
        <v>2583</v>
      </c>
      <c r="D3137" s="7" t="s">
        <v>2584</v>
      </c>
      <c r="E3137" s="7" t="str">
        <f>"彭媛媛"</f>
        <v>彭媛媛</v>
      </c>
      <c r="F3137" s="7" t="str">
        <f t="shared" si="723"/>
        <v>女</v>
      </c>
      <c r="G3137" s="7" t="s">
        <v>2588</v>
      </c>
      <c r="H3137" s="8"/>
    </row>
    <row r="3138" ht="25" customHeight="1" spans="1:8">
      <c r="A3138" s="6">
        <v>3136</v>
      </c>
      <c r="B3138" s="7" t="str">
        <f t="shared" si="724"/>
        <v>301</v>
      </c>
      <c r="C3138" s="7" t="s">
        <v>2583</v>
      </c>
      <c r="D3138" s="7" t="s">
        <v>2584</v>
      </c>
      <c r="E3138" s="7" t="str">
        <f>"王群"</f>
        <v>王群</v>
      </c>
      <c r="F3138" s="7" t="str">
        <f t="shared" si="723"/>
        <v>女</v>
      </c>
      <c r="G3138" s="7" t="s">
        <v>2589</v>
      </c>
      <c r="H3138" s="8"/>
    </row>
    <row r="3139" ht="25" customHeight="1" spans="1:8">
      <c r="A3139" s="6">
        <v>3137</v>
      </c>
      <c r="B3139" s="7" t="str">
        <f t="shared" si="724"/>
        <v>301</v>
      </c>
      <c r="C3139" s="7" t="s">
        <v>2583</v>
      </c>
      <c r="D3139" s="7" t="s">
        <v>2584</v>
      </c>
      <c r="E3139" s="7" t="str">
        <f>"陈夏丹"</f>
        <v>陈夏丹</v>
      </c>
      <c r="F3139" s="7" t="str">
        <f t="shared" si="723"/>
        <v>女</v>
      </c>
      <c r="G3139" s="7" t="s">
        <v>2097</v>
      </c>
      <c r="H3139" s="8"/>
    </row>
    <row r="3140" ht="25" customHeight="1" spans="1:8">
      <c r="A3140" s="6">
        <v>3138</v>
      </c>
      <c r="B3140" s="7" t="str">
        <f t="shared" si="724"/>
        <v>301</v>
      </c>
      <c r="C3140" s="7" t="s">
        <v>2583</v>
      </c>
      <c r="D3140" s="7" t="s">
        <v>2584</v>
      </c>
      <c r="E3140" s="7" t="str">
        <f>"黄英姿"</f>
        <v>黄英姿</v>
      </c>
      <c r="F3140" s="7" t="str">
        <f t="shared" si="723"/>
        <v>女</v>
      </c>
      <c r="G3140" s="7" t="s">
        <v>2165</v>
      </c>
      <c r="H3140" s="8"/>
    </row>
    <row r="3141" ht="25" customHeight="1" spans="1:8">
      <c r="A3141" s="6">
        <v>3139</v>
      </c>
      <c r="B3141" s="7" t="str">
        <f t="shared" si="724"/>
        <v>301</v>
      </c>
      <c r="C3141" s="7" t="s">
        <v>2583</v>
      </c>
      <c r="D3141" s="7" t="s">
        <v>2584</v>
      </c>
      <c r="E3141" s="7" t="str">
        <f>"李想"</f>
        <v>李想</v>
      </c>
      <c r="F3141" s="7" t="str">
        <f t="shared" si="723"/>
        <v>女</v>
      </c>
      <c r="G3141" s="7" t="s">
        <v>2590</v>
      </c>
      <c r="H3141" s="8"/>
    </row>
    <row r="3142" ht="25" customHeight="1" spans="1:8">
      <c r="A3142" s="6">
        <v>3140</v>
      </c>
      <c r="B3142" s="7" t="str">
        <f t="shared" si="724"/>
        <v>301</v>
      </c>
      <c r="C3142" s="7" t="s">
        <v>2583</v>
      </c>
      <c r="D3142" s="7" t="s">
        <v>2584</v>
      </c>
      <c r="E3142" s="7" t="str">
        <f>"朱婷"</f>
        <v>朱婷</v>
      </c>
      <c r="F3142" s="7" t="str">
        <f t="shared" si="723"/>
        <v>女</v>
      </c>
      <c r="G3142" s="7" t="s">
        <v>2591</v>
      </c>
      <c r="H3142" s="8"/>
    </row>
    <row r="3143" ht="25" customHeight="1" spans="1:8">
      <c r="A3143" s="6">
        <v>3141</v>
      </c>
      <c r="B3143" s="7" t="str">
        <f t="shared" si="724"/>
        <v>301</v>
      </c>
      <c r="C3143" s="7" t="s">
        <v>2583</v>
      </c>
      <c r="D3143" s="7" t="s">
        <v>2584</v>
      </c>
      <c r="E3143" s="7" t="str">
        <f>"高广浩"</f>
        <v>高广浩</v>
      </c>
      <c r="F3143" s="7" t="str">
        <f>"男"</f>
        <v>男</v>
      </c>
      <c r="G3143" s="7" t="s">
        <v>2592</v>
      </c>
      <c r="H3143" s="8"/>
    </row>
    <row r="3144" ht="25" customHeight="1" spans="1:8">
      <c r="A3144" s="6">
        <v>3142</v>
      </c>
      <c r="B3144" s="7" t="str">
        <f t="shared" si="724"/>
        <v>301</v>
      </c>
      <c r="C3144" s="7" t="s">
        <v>2583</v>
      </c>
      <c r="D3144" s="7" t="s">
        <v>2584</v>
      </c>
      <c r="E3144" s="7" t="str">
        <f>"黄永彬"</f>
        <v>黄永彬</v>
      </c>
      <c r="F3144" s="7" t="str">
        <f t="shared" ref="F3144:F3146" si="725">"女"</f>
        <v>女</v>
      </c>
      <c r="G3144" s="7" t="s">
        <v>2593</v>
      </c>
      <c r="H3144" s="8"/>
    </row>
    <row r="3145" ht="25" customHeight="1" spans="1:8">
      <c r="A3145" s="6">
        <v>3143</v>
      </c>
      <c r="B3145" s="7" t="str">
        <f t="shared" si="724"/>
        <v>301</v>
      </c>
      <c r="C3145" s="7" t="s">
        <v>2583</v>
      </c>
      <c r="D3145" s="7" t="s">
        <v>2584</v>
      </c>
      <c r="E3145" s="7" t="str">
        <f>"周小莉"</f>
        <v>周小莉</v>
      </c>
      <c r="F3145" s="7" t="str">
        <f t="shared" si="725"/>
        <v>女</v>
      </c>
      <c r="G3145" s="7" t="s">
        <v>2594</v>
      </c>
      <c r="H3145" s="8"/>
    </row>
    <row r="3146" ht="25" customHeight="1" spans="1:8">
      <c r="A3146" s="6">
        <v>3144</v>
      </c>
      <c r="B3146" s="7" t="str">
        <f t="shared" si="724"/>
        <v>301</v>
      </c>
      <c r="C3146" s="7" t="s">
        <v>2583</v>
      </c>
      <c r="D3146" s="7" t="s">
        <v>2584</v>
      </c>
      <c r="E3146" s="7" t="str">
        <f>"李雪敏"</f>
        <v>李雪敏</v>
      </c>
      <c r="F3146" s="7" t="str">
        <f t="shared" si="725"/>
        <v>女</v>
      </c>
      <c r="G3146" s="7" t="s">
        <v>2595</v>
      </c>
      <c r="H3146" s="8"/>
    </row>
    <row r="3147" ht="25" customHeight="1" spans="1:8">
      <c r="A3147" s="6">
        <v>3145</v>
      </c>
      <c r="B3147" s="7" t="str">
        <f t="shared" si="724"/>
        <v>301</v>
      </c>
      <c r="C3147" s="7" t="s">
        <v>2583</v>
      </c>
      <c r="D3147" s="7" t="s">
        <v>2584</v>
      </c>
      <c r="E3147" s="7" t="str">
        <f>"王光绣"</f>
        <v>王光绣</v>
      </c>
      <c r="F3147" s="7" t="str">
        <f>"男"</f>
        <v>男</v>
      </c>
      <c r="G3147" s="7" t="s">
        <v>2596</v>
      </c>
      <c r="H3147" s="8"/>
    </row>
    <row r="3148" ht="25" customHeight="1" spans="1:8">
      <c r="A3148" s="6">
        <v>3146</v>
      </c>
      <c r="B3148" s="7" t="str">
        <f t="shared" si="724"/>
        <v>301</v>
      </c>
      <c r="C3148" s="7" t="s">
        <v>2583</v>
      </c>
      <c r="D3148" s="7" t="s">
        <v>2584</v>
      </c>
      <c r="E3148" s="7" t="str">
        <f>"李静纯"</f>
        <v>李静纯</v>
      </c>
      <c r="F3148" s="7" t="str">
        <f t="shared" ref="F3148:F3153" si="726">"女"</f>
        <v>女</v>
      </c>
      <c r="G3148" s="7" t="s">
        <v>2597</v>
      </c>
      <c r="H3148" s="8"/>
    </row>
    <row r="3149" ht="25" customHeight="1" spans="1:8">
      <c r="A3149" s="6">
        <v>3147</v>
      </c>
      <c r="B3149" s="7" t="str">
        <f t="shared" si="724"/>
        <v>301</v>
      </c>
      <c r="C3149" s="7" t="s">
        <v>2583</v>
      </c>
      <c r="D3149" s="7" t="s">
        <v>2584</v>
      </c>
      <c r="E3149" s="7" t="str">
        <f>"黎家涯"</f>
        <v>黎家涯</v>
      </c>
      <c r="F3149" s="7" t="str">
        <f t="shared" si="726"/>
        <v>女</v>
      </c>
      <c r="G3149" s="7" t="s">
        <v>2598</v>
      </c>
      <c r="H3149" s="8"/>
    </row>
    <row r="3150" ht="25" customHeight="1" spans="1:8">
      <c r="A3150" s="6">
        <v>3148</v>
      </c>
      <c r="B3150" s="7" t="str">
        <f t="shared" si="724"/>
        <v>301</v>
      </c>
      <c r="C3150" s="7" t="s">
        <v>2583</v>
      </c>
      <c r="D3150" s="7" t="s">
        <v>2584</v>
      </c>
      <c r="E3150" s="7" t="str">
        <f>"符新娟"</f>
        <v>符新娟</v>
      </c>
      <c r="F3150" s="7" t="str">
        <f t="shared" si="726"/>
        <v>女</v>
      </c>
      <c r="G3150" s="7" t="s">
        <v>65</v>
      </c>
      <c r="H3150" s="8"/>
    </row>
    <row r="3151" ht="25" customHeight="1" spans="1:8">
      <c r="A3151" s="6">
        <v>3149</v>
      </c>
      <c r="B3151" s="7" t="str">
        <f t="shared" si="724"/>
        <v>301</v>
      </c>
      <c r="C3151" s="7" t="s">
        <v>2583</v>
      </c>
      <c r="D3151" s="7" t="s">
        <v>2584</v>
      </c>
      <c r="E3151" s="7" t="str">
        <f>"符雯静"</f>
        <v>符雯静</v>
      </c>
      <c r="F3151" s="7" t="str">
        <f t="shared" si="726"/>
        <v>女</v>
      </c>
      <c r="G3151" s="7" t="s">
        <v>2599</v>
      </c>
      <c r="H3151" s="8"/>
    </row>
    <row r="3152" ht="25" customHeight="1" spans="1:8">
      <c r="A3152" s="6">
        <v>3150</v>
      </c>
      <c r="B3152" s="7" t="str">
        <f t="shared" si="724"/>
        <v>301</v>
      </c>
      <c r="C3152" s="7" t="s">
        <v>2583</v>
      </c>
      <c r="D3152" s="7" t="s">
        <v>2584</v>
      </c>
      <c r="E3152" s="7" t="str">
        <f>"邓海宁"</f>
        <v>邓海宁</v>
      </c>
      <c r="F3152" s="7" t="str">
        <f t="shared" si="726"/>
        <v>女</v>
      </c>
      <c r="G3152" s="7" t="s">
        <v>376</v>
      </c>
      <c r="H3152" s="8"/>
    </row>
    <row r="3153" ht="25" customHeight="1" spans="1:8">
      <c r="A3153" s="6">
        <v>3151</v>
      </c>
      <c r="B3153" s="7" t="str">
        <f t="shared" si="724"/>
        <v>301</v>
      </c>
      <c r="C3153" s="7" t="s">
        <v>2583</v>
      </c>
      <c r="D3153" s="7" t="s">
        <v>2584</v>
      </c>
      <c r="E3153" s="7" t="str">
        <f>"王冬菊"</f>
        <v>王冬菊</v>
      </c>
      <c r="F3153" s="7" t="str">
        <f t="shared" si="726"/>
        <v>女</v>
      </c>
      <c r="G3153" s="7" t="s">
        <v>2600</v>
      </c>
      <c r="H3153" s="8"/>
    </row>
    <row r="3154" ht="25" customHeight="1" spans="1:8">
      <c r="A3154" s="6">
        <v>3152</v>
      </c>
      <c r="B3154" s="7" t="str">
        <f t="shared" si="724"/>
        <v>301</v>
      </c>
      <c r="C3154" s="7" t="s">
        <v>2583</v>
      </c>
      <c r="D3154" s="7" t="s">
        <v>2584</v>
      </c>
      <c r="E3154" s="7" t="str">
        <f>"李明景"</f>
        <v>李明景</v>
      </c>
      <c r="F3154" s="7" t="str">
        <f>"男"</f>
        <v>男</v>
      </c>
      <c r="G3154" s="7" t="s">
        <v>2601</v>
      </c>
      <c r="H3154" s="8"/>
    </row>
    <row r="3155" ht="25" customHeight="1" spans="1:8">
      <c r="A3155" s="6">
        <v>3153</v>
      </c>
      <c r="B3155" s="7" t="str">
        <f t="shared" si="724"/>
        <v>301</v>
      </c>
      <c r="C3155" s="7" t="s">
        <v>2583</v>
      </c>
      <c r="D3155" s="7" t="s">
        <v>2584</v>
      </c>
      <c r="E3155" s="7" t="str">
        <f>"林炜"</f>
        <v>林炜</v>
      </c>
      <c r="F3155" s="7" t="str">
        <f t="shared" ref="F3155:F3160" si="727">"女"</f>
        <v>女</v>
      </c>
      <c r="G3155" s="7" t="s">
        <v>2602</v>
      </c>
      <c r="H3155" s="8"/>
    </row>
    <row r="3156" ht="25" customHeight="1" spans="1:8">
      <c r="A3156" s="6">
        <v>3154</v>
      </c>
      <c r="B3156" s="7" t="str">
        <f t="shared" si="724"/>
        <v>301</v>
      </c>
      <c r="C3156" s="7" t="s">
        <v>2583</v>
      </c>
      <c r="D3156" s="7" t="s">
        <v>2584</v>
      </c>
      <c r="E3156" s="7" t="str">
        <f>"谭畅"</f>
        <v>谭畅</v>
      </c>
      <c r="F3156" s="7" t="str">
        <f t="shared" si="727"/>
        <v>女</v>
      </c>
      <c r="G3156" s="7" t="s">
        <v>2603</v>
      </c>
      <c r="H3156" s="8"/>
    </row>
    <row r="3157" ht="25" customHeight="1" spans="1:8">
      <c r="A3157" s="6">
        <v>3155</v>
      </c>
      <c r="B3157" s="7" t="str">
        <f t="shared" si="724"/>
        <v>301</v>
      </c>
      <c r="C3157" s="7" t="s">
        <v>2583</v>
      </c>
      <c r="D3157" s="7" t="s">
        <v>2584</v>
      </c>
      <c r="E3157" s="7" t="str">
        <f>"魏季娜"</f>
        <v>魏季娜</v>
      </c>
      <c r="F3157" s="7" t="str">
        <f t="shared" si="727"/>
        <v>女</v>
      </c>
      <c r="G3157" s="7" t="s">
        <v>2604</v>
      </c>
      <c r="H3157" s="8"/>
    </row>
    <row r="3158" ht="25" customHeight="1" spans="1:8">
      <c r="A3158" s="6">
        <v>3156</v>
      </c>
      <c r="B3158" s="7" t="str">
        <f t="shared" si="724"/>
        <v>301</v>
      </c>
      <c r="C3158" s="7" t="s">
        <v>2583</v>
      </c>
      <c r="D3158" s="7" t="s">
        <v>2584</v>
      </c>
      <c r="E3158" s="7" t="str">
        <f>"初娜"</f>
        <v>初娜</v>
      </c>
      <c r="F3158" s="7" t="str">
        <f t="shared" si="727"/>
        <v>女</v>
      </c>
      <c r="G3158" s="7" t="s">
        <v>2605</v>
      </c>
      <c r="H3158" s="8"/>
    </row>
    <row r="3159" ht="25" customHeight="1" spans="1:8">
      <c r="A3159" s="6">
        <v>3157</v>
      </c>
      <c r="B3159" s="7" t="str">
        <f t="shared" si="724"/>
        <v>301</v>
      </c>
      <c r="C3159" s="7" t="s">
        <v>2583</v>
      </c>
      <c r="D3159" s="7" t="s">
        <v>2584</v>
      </c>
      <c r="E3159" s="7" t="str">
        <f>"杜雪琳"</f>
        <v>杜雪琳</v>
      </c>
      <c r="F3159" s="7" t="str">
        <f t="shared" si="727"/>
        <v>女</v>
      </c>
      <c r="G3159" s="7" t="s">
        <v>2606</v>
      </c>
      <c r="H3159" s="8"/>
    </row>
    <row r="3160" ht="25" customHeight="1" spans="1:8">
      <c r="A3160" s="6">
        <v>3158</v>
      </c>
      <c r="B3160" s="7" t="str">
        <f t="shared" si="724"/>
        <v>301</v>
      </c>
      <c r="C3160" s="7" t="s">
        <v>2583</v>
      </c>
      <c r="D3160" s="7" t="s">
        <v>2584</v>
      </c>
      <c r="E3160" s="7" t="str">
        <f>"黄海珠"</f>
        <v>黄海珠</v>
      </c>
      <c r="F3160" s="7" t="str">
        <f t="shared" si="727"/>
        <v>女</v>
      </c>
      <c r="G3160" s="7" t="s">
        <v>2607</v>
      </c>
      <c r="H3160" s="8"/>
    </row>
    <row r="3161" ht="25" customHeight="1" spans="1:8">
      <c r="A3161" s="6">
        <v>3159</v>
      </c>
      <c r="B3161" s="7" t="str">
        <f t="shared" si="724"/>
        <v>301</v>
      </c>
      <c r="C3161" s="7" t="s">
        <v>2583</v>
      </c>
      <c r="D3161" s="7" t="s">
        <v>2584</v>
      </c>
      <c r="E3161" s="7" t="str">
        <f>"刘贵东"</f>
        <v>刘贵东</v>
      </c>
      <c r="F3161" s="7" t="str">
        <f>"男"</f>
        <v>男</v>
      </c>
      <c r="G3161" s="7" t="s">
        <v>2608</v>
      </c>
      <c r="H3161" s="8"/>
    </row>
    <row r="3162" ht="25" customHeight="1" spans="1:8">
      <c r="A3162" s="6">
        <v>3160</v>
      </c>
      <c r="B3162" s="7" t="str">
        <f t="shared" si="724"/>
        <v>301</v>
      </c>
      <c r="C3162" s="7" t="s">
        <v>2583</v>
      </c>
      <c r="D3162" s="7" t="s">
        <v>2584</v>
      </c>
      <c r="E3162" s="7" t="str">
        <f>"杜海秋"</f>
        <v>杜海秋</v>
      </c>
      <c r="F3162" s="7" t="str">
        <f t="shared" ref="F3162:F3193" si="728">"女"</f>
        <v>女</v>
      </c>
      <c r="G3162" s="7" t="s">
        <v>1446</v>
      </c>
      <c r="H3162" s="8"/>
    </row>
    <row r="3163" ht="25" customHeight="1" spans="1:8">
      <c r="A3163" s="6">
        <v>3161</v>
      </c>
      <c r="B3163" s="7" t="str">
        <f t="shared" si="724"/>
        <v>301</v>
      </c>
      <c r="C3163" s="7" t="s">
        <v>2583</v>
      </c>
      <c r="D3163" s="7" t="s">
        <v>2584</v>
      </c>
      <c r="E3163" s="7" t="str">
        <f>"骆慧君"</f>
        <v>骆慧君</v>
      </c>
      <c r="F3163" s="7" t="str">
        <f t="shared" si="728"/>
        <v>女</v>
      </c>
      <c r="G3163" s="7" t="s">
        <v>2609</v>
      </c>
      <c r="H3163" s="8"/>
    </row>
    <row r="3164" ht="25" customHeight="1" spans="1:8">
      <c r="A3164" s="6">
        <v>3162</v>
      </c>
      <c r="B3164" s="7" t="str">
        <f t="shared" si="724"/>
        <v>301</v>
      </c>
      <c r="C3164" s="7" t="s">
        <v>2583</v>
      </c>
      <c r="D3164" s="7" t="s">
        <v>2584</v>
      </c>
      <c r="E3164" s="7" t="str">
        <f>"欧小艳"</f>
        <v>欧小艳</v>
      </c>
      <c r="F3164" s="7" t="str">
        <f t="shared" si="728"/>
        <v>女</v>
      </c>
      <c r="G3164" s="7" t="s">
        <v>2610</v>
      </c>
      <c r="H3164" s="8"/>
    </row>
    <row r="3165" ht="25" customHeight="1" spans="1:8">
      <c r="A3165" s="6">
        <v>3163</v>
      </c>
      <c r="B3165" s="7" t="str">
        <f t="shared" si="724"/>
        <v>301</v>
      </c>
      <c r="C3165" s="7" t="s">
        <v>2583</v>
      </c>
      <c r="D3165" s="7" t="s">
        <v>2584</v>
      </c>
      <c r="E3165" s="7" t="str">
        <f>"王海霞"</f>
        <v>王海霞</v>
      </c>
      <c r="F3165" s="7" t="str">
        <f t="shared" si="728"/>
        <v>女</v>
      </c>
      <c r="G3165" s="7" t="s">
        <v>2611</v>
      </c>
      <c r="H3165" s="8"/>
    </row>
    <row r="3166" ht="25" customHeight="1" spans="1:8">
      <c r="A3166" s="6">
        <v>3164</v>
      </c>
      <c r="B3166" s="7" t="str">
        <f t="shared" si="724"/>
        <v>301</v>
      </c>
      <c r="C3166" s="7" t="s">
        <v>2583</v>
      </c>
      <c r="D3166" s="7" t="s">
        <v>2584</v>
      </c>
      <c r="E3166" s="7" t="str">
        <f>"林静"</f>
        <v>林静</v>
      </c>
      <c r="F3166" s="7" t="str">
        <f t="shared" si="728"/>
        <v>女</v>
      </c>
      <c r="G3166" s="7" t="s">
        <v>2612</v>
      </c>
      <c r="H3166" s="8"/>
    </row>
    <row r="3167" ht="25" customHeight="1" spans="1:8">
      <c r="A3167" s="6">
        <v>3165</v>
      </c>
      <c r="B3167" s="7" t="str">
        <f t="shared" si="724"/>
        <v>301</v>
      </c>
      <c r="C3167" s="7" t="s">
        <v>2583</v>
      </c>
      <c r="D3167" s="7" t="s">
        <v>2584</v>
      </c>
      <c r="E3167" s="7" t="str">
        <f>"叶可飘"</f>
        <v>叶可飘</v>
      </c>
      <c r="F3167" s="7" t="str">
        <f t="shared" si="728"/>
        <v>女</v>
      </c>
      <c r="G3167" s="7" t="s">
        <v>2613</v>
      </c>
      <c r="H3167" s="8"/>
    </row>
    <row r="3168" ht="25" customHeight="1" spans="1:8">
      <c r="A3168" s="6">
        <v>3166</v>
      </c>
      <c r="B3168" s="7" t="str">
        <f t="shared" si="724"/>
        <v>301</v>
      </c>
      <c r="C3168" s="7" t="s">
        <v>2583</v>
      </c>
      <c r="D3168" s="7" t="s">
        <v>2584</v>
      </c>
      <c r="E3168" s="7" t="str">
        <f>"吕坤虹"</f>
        <v>吕坤虹</v>
      </c>
      <c r="F3168" s="7" t="str">
        <f t="shared" si="728"/>
        <v>女</v>
      </c>
      <c r="G3168" s="7" t="s">
        <v>2614</v>
      </c>
      <c r="H3168" s="8"/>
    </row>
    <row r="3169" ht="25" customHeight="1" spans="1:8">
      <c r="A3169" s="6">
        <v>3167</v>
      </c>
      <c r="B3169" s="7" t="str">
        <f t="shared" si="724"/>
        <v>301</v>
      </c>
      <c r="C3169" s="7" t="s">
        <v>2583</v>
      </c>
      <c r="D3169" s="7" t="s">
        <v>2584</v>
      </c>
      <c r="E3169" s="7" t="str">
        <f>"王崎方"</f>
        <v>王崎方</v>
      </c>
      <c r="F3169" s="7" t="str">
        <f t="shared" si="728"/>
        <v>女</v>
      </c>
      <c r="G3169" s="7" t="s">
        <v>2101</v>
      </c>
      <c r="H3169" s="8"/>
    </row>
    <row r="3170" ht="25" customHeight="1" spans="1:8">
      <c r="A3170" s="6">
        <v>3168</v>
      </c>
      <c r="B3170" s="7" t="str">
        <f t="shared" si="724"/>
        <v>301</v>
      </c>
      <c r="C3170" s="7" t="s">
        <v>2583</v>
      </c>
      <c r="D3170" s="7" t="s">
        <v>2584</v>
      </c>
      <c r="E3170" s="7" t="str">
        <f>"林小曼"</f>
        <v>林小曼</v>
      </c>
      <c r="F3170" s="7" t="str">
        <f t="shared" si="728"/>
        <v>女</v>
      </c>
      <c r="G3170" s="7" t="s">
        <v>2615</v>
      </c>
      <c r="H3170" s="8"/>
    </row>
    <row r="3171" ht="25" customHeight="1" spans="1:8">
      <c r="A3171" s="6">
        <v>3169</v>
      </c>
      <c r="B3171" s="7" t="str">
        <f t="shared" si="724"/>
        <v>301</v>
      </c>
      <c r="C3171" s="7" t="s">
        <v>2583</v>
      </c>
      <c r="D3171" s="7" t="s">
        <v>2584</v>
      </c>
      <c r="E3171" s="7" t="str">
        <f>"罗娜"</f>
        <v>罗娜</v>
      </c>
      <c r="F3171" s="7" t="str">
        <f t="shared" si="728"/>
        <v>女</v>
      </c>
      <c r="G3171" s="7" t="s">
        <v>2616</v>
      </c>
      <c r="H3171" s="8"/>
    </row>
    <row r="3172" ht="25" customHeight="1" spans="1:8">
      <c r="A3172" s="6">
        <v>3170</v>
      </c>
      <c r="B3172" s="7" t="str">
        <f t="shared" si="724"/>
        <v>301</v>
      </c>
      <c r="C3172" s="7" t="s">
        <v>2583</v>
      </c>
      <c r="D3172" s="7" t="s">
        <v>2584</v>
      </c>
      <c r="E3172" s="7" t="str">
        <f>"李美爱"</f>
        <v>李美爱</v>
      </c>
      <c r="F3172" s="7" t="str">
        <f t="shared" si="728"/>
        <v>女</v>
      </c>
      <c r="G3172" s="7" t="s">
        <v>2617</v>
      </c>
      <c r="H3172" s="8"/>
    </row>
    <row r="3173" ht="25" customHeight="1" spans="1:8">
      <c r="A3173" s="6">
        <v>3171</v>
      </c>
      <c r="B3173" s="7" t="str">
        <f t="shared" si="724"/>
        <v>301</v>
      </c>
      <c r="C3173" s="7" t="s">
        <v>2583</v>
      </c>
      <c r="D3173" s="7" t="s">
        <v>2584</v>
      </c>
      <c r="E3173" s="7" t="str">
        <f>"李铭"</f>
        <v>李铭</v>
      </c>
      <c r="F3173" s="7" t="str">
        <f t="shared" si="728"/>
        <v>女</v>
      </c>
      <c r="G3173" s="7" t="s">
        <v>2176</v>
      </c>
      <c r="H3173" s="8"/>
    </row>
    <row r="3174" ht="25" customHeight="1" spans="1:8">
      <c r="A3174" s="6">
        <v>3172</v>
      </c>
      <c r="B3174" s="7" t="str">
        <f t="shared" si="724"/>
        <v>301</v>
      </c>
      <c r="C3174" s="7" t="s">
        <v>2583</v>
      </c>
      <c r="D3174" s="7" t="s">
        <v>2584</v>
      </c>
      <c r="E3174" s="7" t="str">
        <f>"岑美玲"</f>
        <v>岑美玲</v>
      </c>
      <c r="F3174" s="7" t="str">
        <f t="shared" si="728"/>
        <v>女</v>
      </c>
      <c r="G3174" s="7" t="s">
        <v>2618</v>
      </c>
      <c r="H3174" s="8"/>
    </row>
    <row r="3175" ht="25" customHeight="1" spans="1:8">
      <c r="A3175" s="6">
        <v>3173</v>
      </c>
      <c r="B3175" s="7" t="str">
        <f t="shared" si="724"/>
        <v>301</v>
      </c>
      <c r="C3175" s="7" t="s">
        <v>2583</v>
      </c>
      <c r="D3175" s="7" t="s">
        <v>2584</v>
      </c>
      <c r="E3175" s="7" t="str">
        <f>"唐宝琴"</f>
        <v>唐宝琴</v>
      </c>
      <c r="F3175" s="7" t="str">
        <f t="shared" si="728"/>
        <v>女</v>
      </c>
      <c r="G3175" s="7" t="s">
        <v>2619</v>
      </c>
      <c r="H3175" s="8"/>
    </row>
    <row r="3176" ht="25" customHeight="1" spans="1:8">
      <c r="A3176" s="6">
        <v>3174</v>
      </c>
      <c r="B3176" s="7" t="str">
        <f t="shared" si="724"/>
        <v>301</v>
      </c>
      <c r="C3176" s="7" t="s">
        <v>2583</v>
      </c>
      <c r="D3176" s="7" t="s">
        <v>2584</v>
      </c>
      <c r="E3176" s="7" t="str">
        <f>"赵玲玲"</f>
        <v>赵玲玲</v>
      </c>
      <c r="F3176" s="7" t="str">
        <f t="shared" si="728"/>
        <v>女</v>
      </c>
      <c r="G3176" s="7" t="s">
        <v>2620</v>
      </c>
      <c r="H3176" s="8"/>
    </row>
    <row r="3177" ht="25" customHeight="1" spans="1:8">
      <c r="A3177" s="6">
        <v>3175</v>
      </c>
      <c r="B3177" s="7" t="str">
        <f t="shared" si="724"/>
        <v>301</v>
      </c>
      <c r="C3177" s="7" t="s">
        <v>2583</v>
      </c>
      <c r="D3177" s="7" t="s">
        <v>2584</v>
      </c>
      <c r="E3177" s="7" t="str">
        <f>"王海丽"</f>
        <v>王海丽</v>
      </c>
      <c r="F3177" s="7" t="str">
        <f t="shared" si="728"/>
        <v>女</v>
      </c>
      <c r="G3177" s="7" t="s">
        <v>2621</v>
      </c>
      <c r="H3177" s="8"/>
    </row>
    <row r="3178" ht="25" customHeight="1" spans="1:8">
      <c r="A3178" s="6">
        <v>3176</v>
      </c>
      <c r="B3178" s="7" t="str">
        <f t="shared" si="724"/>
        <v>301</v>
      </c>
      <c r="C3178" s="7" t="s">
        <v>2583</v>
      </c>
      <c r="D3178" s="7" t="s">
        <v>2584</v>
      </c>
      <c r="E3178" s="7" t="str">
        <f>"俄世奉"</f>
        <v>俄世奉</v>
      </c>
      <c r="F3178" s="7" t="str">
        <f t="shared" si="728"/>
        <v>女</v>
      </c>
      <c r="G3178" s="7" t="s">
        <v>2622</v>
      </c>
      <c r="H3178" s="8"/>
    </row>
    <row r="3179" ht="25" customHeight="1" spans="1:8">
      <c r="A3179" s="6">
        <v>3177</v>
      </c>
      <c r="B3179" s="7" t="str">
        <f t="shared" si="724"/>
        <v>301</v>
      </c>
      <c r="C3179" s="7" t="s">
        <v>2583</v>
      </c>
      <c r="D3179" s="7" t="s">
        <v>2584</v>
      </c>
      <c r="E3179" s="7" t="str">
        <f>"林青瑜"</f>
        <v>林青瑜</v>
      </c>
      <c r="F3179" s="7" t="str">
        <f t="shared" si="728"/>
        <v>女</v>
      </c>
      <c r="G3179" s="7" t="s">
        <v>2623</v>
      </c>
      <c r="H3179" s="8"/>
    </row>
    <row r="3180" ht="25" customHeight="1" spans="1:8">
      <c r="A3180" s="6">
        <v>3178</v>
      </c>
      <c r="B3180" s="7" t="str">
        <f t="shared" si="724"/>
        <v>301</v>
      </c>
      <c r="C3180" s="7" t="s">
        <v>2583</v>
      </c>
      <c r="D3180" s="7" t="s">
        <v>2584</v>
      </c>
      <c r="E3180" s="7" t="str">
        <f>"陈丹虹"</f>
        <v>陈丹虹</v>
      </c>
      <c r="F3180" s="7" t="str">
        <f t="shared" si="728"/>
        <v>女</v>
      </c>
      <c r="G3180" s="7" t="s">
        <v>1278</v>
      </c>
      <c r="H3180" s="8"/>
    </row>
    <row r="3181" ht="25" customHeight="1" spans="1:8">
      <c r="A3181" s="6">
        <v>3179</v>
      </c>
      <c r="B3181" s="7" t="str">
        <f t="shared" si="724"/>
        <v>301</v>
      </c>
      <c r="C3181" s="7" t="s">
        <v>2583</v>
      </c>
      <c r="D3181" s="7" t="s">
        <v>2584</v>
      </c>
      <c r="E3181" s="7" t="str">
        <f>"刘心瑀"</f>
        <v>刘心瑀</v>
      </c>
      <c r="F3181" s="7" t="str">
        <f t="shared" si="728"/>
        <v>女</v>
      </c>
      <c r="G3181" s="7" t="s">
        <v>1895</v>
      </c>
      <c r="H3181" s="8"/>
    </row>
    <row r="3182" ht="25" customHeight="1" spans="1:8">
      <c r="A3182" s="6">
        <v>3180</v>
      </c>
      <c r="B3182" s="7" t="str">
        <f t="shared" si="724"/>
        <v>301</v>
      </c>
      <c r="C3182" s="7" t="s">
        <v>2583</v>
      </c>
      <c r="D3182" s="7" t="s">
        <v>2584</v>
      </c>
      <c r="E3182" s="7" t="str">
        <f>"符祝花"</f>
        <v>符祝花</v>
      </c>
      <c r="F3182" s="7" t="str">
        <f t="shared" si="728"/>
        <v>女</v>
      </c>
      <c r="G3182" s="7" t="s">
        <v>2624</v>
      </c>
      <c r="H3182" s="8"/>
    </row>
    <row r="3183" ht="25" customHeight="1" spans="1:8">
      <c r="A3183" s="6">
        <v>3181</v>
      </c>
      <c r="B3183" s="7" t="str">
        <f t="shared" si="724"/>
        <v>301</v>
      </c>
      <c r="C3183" s="7" t="s">
        <v>2583</v>
      </c>
      <c r="D3183" s="7" t="s">
        <v>2584</v>
      </c>
      <c r="E3183" s="7" t="str">
        <f>"王停菲"</f>
        <v>王停菲</v>
      </c>
      <c r="F3183" s="7" t="str">
        <f t="shared" si="728"/>
        <v>女</v>
      </c>
      <c r="G3183" s="7" t="s">
        <v>2625</v>
      </c>
      <c r="H3183" s="8"/>
    </row>
    <row r="3184" ht="25" customHeight="1" spans="1:8">
      <c r="A3184" s="6">
        <v>3182</v>
      </c>
      <c r="B3184" s="7" t="str">
        <f t="shared" si="724"/>
        <v>301</v>
      </c>
      <c r="C3184" s="7" t="s">
        <v>2583</v>
      </c>
      <c r="D3184" s="7" t="s">
        <v>2584</v>
      </c>
      <c r="E3184" s="7" t="str">
        <f>"黎思诗"</f>
        <v>黎思诗</v>
      </c>
      <c r="F3184" s="7" t="str">
        <f t="shared" si="728"/>
        <v>女</v>
      </c>
      <c r="G3184" s="7" t="s">
        <v>2626</v>
      </c>
      <c r="H3184" s="8"/>
    </row>
    <row r="3185" ht="25" customHeight="1" spans="1:8">
      <c r="A3185" s="6">
        <v>3183</v>
      </c>
      <c r="B3185" s="7" t="str">
        <f t="shared" si="724"/>
        <v>301</v>
      </c>
      <c r="C3185" s="7" t="s">
        <v>2583</v>
      </c>
      <c r="D3185" s="7" t="s">
        <v>2584</v>
      </c>
      <c r="E3185" s="7" t="str">
        <f>"王兆仪"</f>
        <v>王兆仪</v>
      </c>
      <c r="F3185" s="7" t="str">
        <f t="shared" si="728"/>
        <v>女</v>
      </c>
      <c r="G3185" s="7" t="s">
        <v>2627</v>
      </c>
      <c r="H3185" s="8"/>
    </row>
    <row r="3186" ht="25" customHeight="1" spans="1:8">
      <c r="A3186" s="6">
        <v>3184</v>
      </c>
      <c r="B3186" s="7" t="str">
        <f t="shared" si="724"/>
        <v>301</v>
      </c>
      <c r="C3186" s="7" t="s">
        <v>2583</v>
      </c>
      <c r="D3186" s="7" t="s">
        <v>2584</v>
      </c>
      <c r="E3186" s="7" t="str">
        <f>"满晓雪"</f>
        <v>满晓雪</v>
      </c>
      <c r="F3186" s="7" t="str">
        <f t="shared" si="728"/>
        <v>女</v>
      </c>
      <c r="G3186" s="7" t="s">
        <v>2628</v>
      </c>
      <c r="H3186" s="8"/>
    </row>
    <row r="3187" ht="25" customHeight="1" spans="1:8">
      <c r="A3187" s="6">
        <v>3185</v>
      </c>
      <c r="B3187" s="7" t="str">
        <f t="shared" si="724"/>
        <v>301</v>
      </c>
      <c r="C3187" s="7" t="s">
        <v>2583</v>
      </c>
      <c r="D3187" s="7" t="s">
        <v>2584</v>
      </c>
      <c r="E3187" s="7" t="str">
        <f>"林巧慧"</f>
        <v>林巧慧</v>
      </c>
      <c r="F3187" s="7" t="str">
        <f t="shared" si="728"/>
        <v>女</v>
      </c>
      <c r="G3187" s="7" t="s">
        <v>375</v>
      </c>
      <c r="H3187" s="8"/>
    </row>
    <row r="3188" ht="25" customHeight="1" spans="1:8">
      <c r="A3188" s="6">
        <v>3186</v>
      </c>
      <c r="B3188" s="7" t="str">
        <f t="shared" si="724"/>
        <v>301</v>
      </c>
      <c r="C3188" s="7" t="s">
        <v>2583</v>
      </c>
      <c r="D3188" s="7" t="s">
        <v>2584</v>
      </c>
      <c r="E3188" s="7" t="str">
        <f>"王月皎"</f>
        <v>王月皎</v>
      </c>
      <c r="F3188" s="7" t="str">
        <f t="shared" si="728"/>
        <v>女</v>
      </c>
      <c r="G3188" s="7" t="s">
        <v>2629</v>
      </c>
      <c r="H3188" s="8"/>
    </row>
    <row r="3189" ht="25" customHeight="1" spans="1:8">
      <c r="A3189" s="6">
        <v>3187</v>
      </c>
      <c r="B3189" s="7" t="str">
        <f t="shared" si="724"/>
        <v>301</v>
      </c>
      <c r="C3189" s="7" t="s">
        <v>2583</v>
      </c>
      <c r="D3189" s="7" t="s">
        <v>2584</v>
      </c>
      <c r="E3189" s="7" t="str">
        <f>"于雯"</f>
        <v>于雯</v>
      </c>
      <c r="F3189" s="7" t="str">
        <f t="shared" si="728"/>
        <v>女</v>
      </c>
      <c r="G3189" s="7" t="s">
        <v>2630</v>
      </c>
      <c r="H3189" s="8"/>
    </row>
    <row r="3190" ht="25" customHeight="1" spans="1:8">
      <c r="A3190" s="6">
        <v>3188</v>
      </c>
      <c r="B3190" s="7" t="str">
        <f t="shared" si="724"/>
        <v>301</v>
      </c>
      <c r="C3190" s="7" t="s">
        <v>2583</v>
      </c>
      <c r="D3190" s="7" t="s">
        <v>2584</v>
      </c>
      <c r="E3190" s="7" t="str">
        <f>"马睿娴"</f>
        <v>马睿娴</v>
      </c>
      <c r="F3190" s="7" t="str">
        <f t="shared" si="728"/>
        <v>女</v>
      </c>
      <c r="G3190" s="7" t="s">
        <v>2631</v>
      </c>
      <c r="H3190" s="8"/>
    </row>
    <row r="3191" ht="25" customHeight="1" spans="1:8">
      <c r="A3191" s="6">
        <v>3189</v>
      </c>
      <c r="B3191" s="7" t="str">
        <f t="shared" si="724"/>
        <v>301</v>
      </c>
      <c r="C3191" s="7" t="s">
        <v>2583</v>
      </c>
      <c r="D3191" s="7" t="s">
        <v>2584</v>
      </c>
      <c r="E3191" s="7" t="str">
        <f>"周琪"</f>
        <v>周琪</v>
      </c>
      <c r="F3191" s="7" t="str">
        <f t="shared" si="728"/>
        <v>女</v>
      </c>
      <c r="G3191" s="7" t="s">
        <v>2632</v>
      </c>
      <c r="H3191" s="8"/>
    </row>
    <row r="3192" ht="25" customHeight="1" spans="1:8">
      <c r="A3192" s="6">
        <v>3190</v>
      </c>
      <c r="B3192" s="7" t="str">
        <f t="shared" si="724"/>
        <v>301</v>
      </c>
      <c r="C3192" s="7" t="s">
        <v>2583</v>
      </c>
      <c r="D3192" s="7" t="s">
        <v>2584</v>
      </c>
      <c r="E3192" s="7" t="str">
        <f>"符发琴"</f>
        <v>符发琴</v>
      </c>
      <c r="F3192" s="7" t="str">
        <f t="shared" si="728"/>
        <v>女</v>
      </c>
      <c r="G3192" s="7" t="s">
        <v>2633</v>
      </c>
      <c r="H3192" s="8"/>
    </row>
    <row r="3193" ht="25" customHeight="1" spans="1:8">
      <c r="A3193" s="6">
        <v>3191</v>
      </c>
      <c r="B3193" s="7" t="str">
        <f t="shared" si="724"/>
        <v>301</v>
      </c>
      <c r="C3193" s="7" t="s">
        <v>2583</v>
      </c>
      <c r="D3193" s="7" t="s">
        <v>2584</v>
      </c>
      <c r="E3193" s="7" t="str">
        <f>"王雅婷"</f>
        <v>王雅婷</v>
      </c>
      <c r="F3193" s="7" t="str">
        <f t="shared" si="728"/>
        <v>女</v>
      </c>
      <c r="G3193" s="7" t="s">
        <v>2634</v>
      </c>
      <c r="H3193" s="8"/>
    </row>
    <row r="3194" ht="25" customHeight="1" spans="1:8">
      <c r="A3194" s="6">
        <v>3192</v>
      </c>
      <c r="B3194" s="7" t="str">
        <f t="shared" si="724"/>
        <v>301</v>
      </c>
      <c r="C3194" s="7" t="s">
        <v>2583</v>
      </c>
      <c r="D3194" s="7" t="s">
        <v>2584</v>
      </c>
      <c r="E3194" s="7" t="str">
        <f>"符豪"</f>
        <v>符豪</v>
      </c>
      <c r="F3194" s="7" t="str">
        <f>"男"</f>
        <v>男</v>
      </c>
      <c r="G3194" s="7" t="s">
        <v>2635</v>
      </c>
      <c r="H3194" s="8"/>
    </row>
    <row r="3195" ht="25" customHeight="1" spans="1:8">
      <c r="A3195" s="6">
        <v>3193</v>
      </c>
      <c r="B3195" s="7" t="str">
        <f t="shared" si="724"/>
        <v>301</v>
      </c>
      <c r="C3195" s="7" t="s">
        <v>2583</v>
      </c>
      <c r="D3195" s="7" t="s">
        <v>2584</v>
      </c>
      <c r="E3195" s="7" t="str">
        <f>"张诗若"</f>
        <v>张诗若</v>
      </c>
      <c r="F3195" s="7" t="str">
        <f t="shared" ref="F3195:F3200" si="729">"女"</f>
        <v>女</v>
      </c>
      <c r="G3195" s="7" t="s">
        <v>2636</v>
      </c>
      <c r="H3195" s="8"/>
    </row>
    <row r="3196" ht="25" customHeight="1" spans="1:8">
      <c r="A3196" s="6">
        <v>3194</v>
      </c>
      <c r="B3196" s="7" t="str">
        <f t="shared" si="724"/>
        <v>301</v>
      </c>
      <c r="C3196" s="7" t="s">
        <v>2583</v>
      </c>
      <c r="D3196" s="7" t="s">
        <v>2584</v>
      </c>
      <c r="E3196" s="7" t="str">
        <f>"欧思悦"</f>
        <v>欧思悦</v>
      </c>
      <c r="F3196" s="7" t="str">
        <f t="shared" si="729"/>
        <v>女</v>
      </c>
      <c r="G3196" s="7" t="s">
        <v>1451</v>
      </c>
      <c r="H3196" s="8"/>
    </row>
    <row r="3197" ht="25" customHeight="1" spans="1:8">
      <c r="A3197" s="6">
        <v>3195</v>
      </c>
      <c r="B3197" s="7" t="str">
        <f t="shared" si="724"/>
        <v>301</v>
      </c>
      <c r="C3197" s="7" t="s">
        <v>2583</v>
      </c>
      <c r="D3197" s="7" t="s">
        <v>2584</v>
      </c>
      <c r="E3197" s="7" t="str">
        <f>"张璟雯"</f>
        <v>张璟雯</v>
      </c>
      <c r="F3197" s="7" t="str">
        <f t="shared" si="729"/>
        <v>女</v>
      </c>
      <c r="G3197" s="7" t="s">
        <v>2637</v>
      </c>
      <c r="H3197" s="8"/>
    </row>
    <row r="3198" ht="25" customHeight="1" spans="1:8">
      <c r="A3198" s="6">
        <v>3196</v>
      </c>
      <c r="B3198" s="7" t="str">
        <f t="shared" ref="B3198:B3261" si="730">"301"</f>
        <v>301</v>
      </c>
      <c r="C3198" s="7" t="s">
        <v>2583</v>
      </c>
      <c r="D3198" s="7" t="s">
        <v>2584</v>
      </c>
      <c r="E3198" s="7" t="str">
        <f>"龙云汀"</f>
        <v>龙云汀</v>
      </c>
      <c r="F3198" s="7" t="str">
        <f t="shared" si="729"/>
        <v>女</v>
      </c>
      <c r="G3198" s="7" t="s">
        <v>2638</v>
      </c>
      <c r="H3198" s="8"/>
    </row>
    <row r="3199" ht="25" customHeight="1" spans="1:8">
      <c r="A3199" s="6">
        <v>3197</v>
      </c>
      <c r="B3199" s="7" t="str">
        <f t="shared" si="730"/>
        <v>301</v>
      </c>
      <c r="C3199" s="7" t="s">
        <v>2583</v>
      </c>
      <c r="D3199" s="7" t="s">
        <v>2584</v>
      </c>
      <c r="E3199" s="7" t="str">
        <f>"段素贤"</f>
        <v>段素贤</v>
      </c>
      <c r="F3199" s="7" t="str">
        <f t="shared" si="729"/>
        <v>女</v>
      </c>
      <c r="G3199" s="7" t="s">
        <v>2639</v>
      </c>
      <c r="H3199" s="8"/>
    </row>
    <row r="3200" ht="25" customHeight="1" spans="1:8">
      <c r="A3200" s="6">
        <v>3198</v>
      </c>
      <c r="B3200" s="7" t="str">
        <f t="shared" si="730"/>
        <v>301</v>
      </c>
      <c r="C3200" s="7" t="s">
        <v>2583</v>
      </c>
      <c r="D3200" s="7" t="s">
        <v>2584</v>
      </c>
      <c r="E3200" s="7" t="str">
        <f>"陈佳钰"</f>
        <v>陈佳钰</v>
      </c>
      <c r="F3200" s="7" t="str">
        <f t="shared" si="729"/>
        <v>女</v>
      </c>
      <c r="G3200" s="7" t="s">
        <v>2640</v>
      </c>
      <c r="H3200" s="8"/>
    </row>
    <row r="3201" ht="25" customHeight="1" spans="1:8">
      <c r="A3201" s="6">
        <v>3199</v>
      </c>
      <c r="B3201" s="7" t="str">
        <f t="shared" si="730"/>
        <v>301</v>
      </c>
      <c r="C3201" s="7" t="s">
        <v>2583</v>
      </c>
      <c r="D3201" s="7" t="s">
        <v>2584</v>
      </c>
      <c r="E3201" s="7" t="str">
        <f>"郑武"</f>
        <v>郑武</v>
      </c>
      <c r="F3201" s="7" t="str">
        <f>"男"</f>
        <v>男</v>
      </c>
      <c r="G3201" s="7" t="s">
        <v>2641</v>
      </c>
      <c r="H3201" s="8"/>
    </row>
    <row r="3202" ht="25" customHeight="1" spans="1:8">
      <c r="A3202" s="6">
        <v>3200</v>
      </c>
      <c r="B3202" s="7" t="str">
        <f t="shared" si="730"/>
        <v>301</v>
      </c>
      <c r="C3202" s="7" t="s">
        <v>2583</v>
      </c>
      <c r="D3202" s="7" t="s">
        <v>2584</v>
      </c>
      <c r="E3202" s="7" t="str">
        <f>"彭媛"</f>
        <v>彭媛</v>
      </c>
      <c r="F3202" s="7" t="str">
        <f t="shared" ref="F3202:F3211" si="731">"女"</f>
        <v>女</v>
      </c>
      <c r="G3202" s="7" t="s">
        <v>2642</v>
      </c>
      <c r="H3202" s="8"/>
    </row>
    <row r="3203" ht="25" customHeight="1" spans="1:8">
      <c r="A3203" s="6">
        <v>3201</v>
      </c>
      <c r="B3203" s="7" t="str">
        <f t="shared" si="730"/>
        <v>301</v>
      </c>
      <c r="C3203" s="7" t="s">
        <v>2583</v>
      </c>
      <c r="D3203" s="7" t="s">
        <v>2584</v>
      </c>
      <c r="E3203" s="7" t="str">
        <f>"刘苗苗"</f>
        <v>刘苗苗</v>
      </c>
      <c r="F3203" s="7" t="str">
        <f t="shared" si="731"/>
        <v>女</v>
      </c>
      <c r="G3203" s="7" t="s">
        <v>2643</v>
      </c>
      <c r="H3203" s="8"/>
    </row>
    <row r="3204" ht="25" customHeight="1" spans="1:8">
      <c r="A3204" s="6">
        <v>3202</v>
      </c>
      <c r="B3204" s="7" t="str">
        <f t="shared" si="730"/>
        <v>301</v>
      </c>
      <c r="C3204" s="7" t="s">
        <v>2583</v>
      </c>
      <c r="D3204" s="7" t="s">
        <v>2584</v>
      </c>
      <c r="E3204" s="7" t="str">
        <f>"文婷"</f>
        <v>文婷</v>
      </c>
      <c r="F3204" s="7" t="str">
        <f t="shared" si="731"/>
        <v>女</v>
      </c>
      <c r="G3204" s="7" t="s">
        <v>2644</v>
      </c>
      <c r="H3204" s="8"/>
    </row>
    <row r="3205" ht="25" customHeight="1" spans="1:8">
      <c r="A3205" s="6">
        <v>3203</v>
      </c>
      <c r="B3205" s="7" t="str">
        <f t="shared" si="730"/>
        <v>301</v>
      </c>
      <c r="C3205" s="7" t="s">
        <v>2583</v>
      </c>
      <c r="D3205" s="7" t="s">
        <v>2584</v>
      </c>
      <c r="E3205" s="7" t="str">
        <f>"杨敏"</f>
        <v>杨敏</v>
      </c>
      <c r="F3205" s="7" t="str">
        <f t="shared" si="731"/>
        <v>女</v>
      </c>
      <c r="G3205" s="7" t="s">
        <v>2645</v>
      </c>
      <c r="H3205" s="8"/>
    </row>
    <row r="3206" ht="25" customHeight="1" spans="1:8">
      <c r="A3206" s="6">
        <v>3204</v>
      </c>
      <c r="B3206" s="7" t="str">
        <f t="shared" si="730"/>
        <v>301</v>
      </c>
      <c r="C3206" s="7" t="s">
        <v>2583</v>
      </c>
      <c r="D3206" s="7" t="s">
        <v>2584</v>
      </c>
      <c r="E3206" s="7" t="str">
        <f>"刘闯"</f>
        <v>刘闯</v>
      </c>
      <c r="F3206" s="7" t="str">
        <f t="shared" si="731"/>
        <v>女</v>
      </c>
      <c r="G3206" s="7" t="s">
        <v>2646</v>
      </c>
      <c r="H3206" s="8"/>
    </row>
    <row r="3207" ht="25" customHeight="1" spans="1:8">
      <c r="A3207" s="6">
        <v>3205</v>
      </c>
      <c r="B3207" s="7" t="str">
        <f t="shared" si="730"/>
        <v>301</v>
      </c>
      <c r="C3207" s="7" t="s">
        <v>2583</v>
      </c>
      <c r="D3207" s="7" t="s">
        <v>2584</v>
      </c>
      <c r="E3207" s="7" t="str">
        <f>"张风英"</f>
        <v>张风英</v>
      </c>
      <c r="F3207" s="7" t="str">
        <f t="shared" si="731"/>
        <v>女</v>
      </c>
      <c r="G3207" s="7" t="s">
        <v>2647</v>
      </c>
      <c r="H3207" s="8"/>
    </row>
    <row r="3208" ht="25" customHeight="1" spans="1:8">
      <c r="A3208" s="6">
        <v>3206</v>
      </c>
      <c r="B3208" s="7" t="str">
        <f t="shared" si="730"/>
        <v>301</v>
      </c>
      <c r="C3208" s="7" t="s">
        <v>2583</v>
      </c>
      <c r="D3208" s="7" t="s">
        <v>2584</v>
      </c>
      <c r="E3208" s="7" t="str">
        <f>"唐娥飞"</f>
        <v>唐娥飞</v>
      </c>
      <c r="F3208" s="7" t="str">
        <f t="shared" si="731"/>
        <v>女</v>
      </c>
      <c r="G3208" s="7" t="s">
        <v>1266</v>
      </c>
      <c r="H3208" s="8"/>
    </row>
    <row r="3209" ht="25" customHeight="1" spans="1:8">
      <c r="A3209" s="6">
        <v>3207</v>
      </c>
      <c r="B3209" s="7" t="str">
        <f t="shared" si="730"/>
        <v>301</v>
      </c>
      <c r="C3209" s="7" t="s">
        <v>2583</v>
      </c>
      <c r="D3209" s="7" t="s">
        <v>2584</v>
      </c>
      <c r="E3209" s="7" t="str">
        <f>"秦文静"</f>
        <v>秦文静</v>
      </c>
      <c r="F3209" s="7" t="str">
        <f t="shared" si="731"/>
        <v>女</v>
      </c>
      <c r="G3209" s="7" t="s">
        <v>2648</v>
      </c>
      <c r="H3209" s="8"/>
    </row>
    <row r="3210" ht="25" customHeight="1" spans="1:8">
      <c r="A3210" s="6">
        <v>3208</v>
      </c>
      <c r="B3210" s="7" t="str">
        <f t="shared" si="730"/>
        <v>301</v>
      </c>
      <c r="C3210" s="7" t="s">
        <v>2583</v>
      </c>
      <c r="D3210" s="7" t="s">
        <v>2584</v>
      </c>
      <c r="E3210" s="7" t="str">
        <f>"张玲"</f>
        <v>张玲</v>
      </c>
      <c r="F3210" s="7" t="str">
        <f t="shared" si="731"/>
        <v>女</v>
      </c>
      <c r="G3210" s="7" t="s">
        <v>2649</v>
      </c>
      <c r="H3210" s="8"/>
    </row>
    <row r="3211" ht="25" customHeight="1" spans="1:8">
      <c r="A3211" s="6">
        <v>3209</v>
      </c>
      <c r="B3211" s="7" t="str">
        <f t="shared" si="730"/>
        <v>301</v>
      </c>
      <c r="C3211" s="7" t="s">
        <v>2583</v>
      </c>
      <c r="D3211" s="7" t="s">
        <v>2584</v>
      </c>
      <c r="E3211" s="7" t="str">
        <f>"符一凡"</f>
        <v>符一凡</v>
      </c>
      <c r="F3211" s="7" t="str">
        <f t="shared" si="731"/>
        <v>女</v>
      </c>
      <c r="G3211" s="7" t="s">
        <v>654</v>
      </c>
      <c r="H3211" s="8"/>
    </row>
    <row r="3212" ht="25" customHeight="1" spans="1:8">
      <c r="A3212" s="6">
        <v>3210</v>
      </c>
      <c r="B3212" s="7" t="str">
        <f t="shared" si="730"/>
        <v>301</v>
      </c>
      <c r="C3212" s="7" t="s">
        <v>2583</v>
      </c>
      <c r="D3212" s="7" t="s">
        <v>2584</v>
      </c>
      <c r="E3212" s="7" t="str">
        <f>"云大纪"</f>
        <v>云大纪</v>
      </c>
      <c r="F3212" s="7" t="str">
        <f>"男"</f>
        <v>男</v>
      </c>
      <c r="G3212" s="7" t="s">
        <v>2650</v>
      </c>
      <c r="H3212" s="8"/>
    </row>
    <row r="3213" ht="25" customHeight="1" spans="1:8">
      <c r="A3213" s="6">
        <v>3211</v>
      </c>
      <c r="B3213" s="7" t="str">
        <f t="shared" si="730"/>
        <v>301</v>
      </c>
      <c r="C3213" s="7" t="s">
        <v>2583</v>
      </c>
      <c r="D3213" s="7" t="s">
        <v>2584</v>
      </c>
      <c r="E3213" s="7" t="str">
        <f>"夏冰"</f>
        <v>夏冰</v>
      </c>
      <c r="F3213" s="7" t="str">
        <f t="shared" ref="F3213:F3229" si="732">"女"</f>
        <v>女</v>
      </c>
      <c r="G3213" s="7" t="s">
        <v>2651</v>
      </c>
      <c r="H3213" s="8"/>
    </row>
    <row r="3214" ht="25" customHeight="1" spans="1:8">
      <c r="A3214" s="6">
        <v>3212</v>
      </c>
      <c r="B3214" s="7" t="str">
        <f t="shared" si="730"/>
        <v>301</v>
      </c>
      <c r="C3214" s="7" t="s">
        <v>2583</v>
      </c>
      <c r="D3214" s="7" t="s">
        <v>2584</v>
      </c>
      <c r="E3214" s="7" t="str">
        <f>"李诗能"</f>
        <v>李诗能</v>
      </c>
      <c r="F3214" s="7" t="str">
        <f>"男"</f>
        <v>男</v>
      </c>
      <c r="G3214" s="7" t="s">
        <v>239</v>
      </c>
      <c r="H3214" s="8"/>
    </row>
    <row r="3215" ht="25" customHeight="1" spans="1:8">
      <c r="A3215" s="6">
        <v>3213</v>
      </c>
      <c r="B3215" s="7" t="str">
        <f t="shared" si="730"/>
        <v>301</v>
      </c>
      <c r="C3215" s="7" t="s">
        <v>2583</v>
      </c>
      <c r="D3215" s="7" t="s">
        <v>2584</v>
      </c>
      <c r="E3215" s="7" t="str">
        <f>"羊秋霞"</f>
        <v>羊秋霞</v>
      </c>
      <c r="F3215" s="7" t="str">
        <f t="shared" si="732"/>
        <v>女</v>
      </c>
      <c r="G3215" s="7" t="s">
        <v>2652</v>
      </c>
      <c r="H3215" s="8"/>
    </row>
    <row r="3216" ht="25" customHeight="1" spans="1:8">
      <c r="A3216" s="6">
        <v>3214</v>
      </c>
      <c r="B3216" s="7" t="str">
        <f t="shared" si="730"/>
        <v>301</v>
      </c>
      <c r="C3216" s="7" t="s">
        <v>2583</v>
      </c>
      <c r="D3216" s="7" t="s">
        <v>2584</v>
      </c>
      <c r="E3216" s="7" t="str">
        <f>"纪恩雨"</f>
        <v>纪恩雨</v>
      </c>
      <c r="F3216" s="7" t="str">
        <f t="shared" si="732"/>
        <v>女</v>
      </c>
      <c r="G3216" s="7" t="s">
        <v>686</v>
      </c>
      <c r="H3216" s="8"/>
    </row>
    <row r="3217" ht="25" customHeight="1" spans="1:8">
      <c r="A3217" s="6">
        <v>3215</v>
      </c>
      <c r="B3217" s="7" t="str">
        <f t="shared" si="730"/>
        <v>301</v>
      </c>
      <c r="C3217" s="7" t="s">
        <v>2583</v>
      </c>
      <c r="D3217" s="7" t="s">
        <v>2584</v>
      </c>
      <c r="E3217" s="7" t="str">
        <f>"吕银"</f>
        <v>吕银</v>
      </c>
      <c r="F3217" s="7" t="str">
        <f t="shared" si="732"/>
        <v>女</v>
      </c>
      <c r="G3217" s="7" t="s">
        <v>29</v>
      </c>
      <c r="H3217" s="8"/>
    </row>
    <row r="3218" ht="25" customHeight="1" spans="1:8">
      <c r="A3218" s="6">
        <v>3216</v>
      </c>
      <c r="B3218" s="7" t="str">
        <f t="shared" si="730"/>
        <v>301</v>
      </c>
      <c r="C3218" s="7" t="s">
        <v>2583</v>
      </c>
      <c r="D3218" s="7" t="s">
        <v>2584</v>
      </c>
      <c r="E3218" s="7" t="str">
        <f>"苏小紫"</f>
        <v>苏小紫</v>
      </c>
      <c r="F3218" s="7" t="str">
        <f t="shared" si="732"/>
        <v>女</v>
      </c>
      <c r="G3218" s="7" t="s">
        <v>2653</v>
      </c>
      <c r="H3218" s="8"/>
    </row>
    <row r="3219" ht="25" customHeight="1" spans="1:8">
      <c r="A3219" s="6">
        <v>3217</v>
      </c>
      <c r="B3219" s="7" t="str">
        <f t="shared" si="730"/>
        <v>301</v>
      </c>
      <c r="C3219" s="7" t="s">
        <v>2583</v>
      </c>
      <c r="D3219" s="7" t="s">
        <v>2584</v>
      </c>
      <c r="E3219" s="7" t="str">
        <f>"杨丹丹"</f>
        <v>杨丹丹</v>
      </c>
      <c r="F3219" s="7" t="str">
        <f t="shared" si="732"/>
        <v>女</v>
      </c>
      <c r="G3219" s="7" t="s">
        <v>1046</v>
      </c>
      <c r="H3219" s="8"/>
    </row>
    <row r="3220" ht="25" customHeight="1" spans="1:8">
      <c r="A3220" s="6">
        <v>3218</v>
      </c>
      <c r="B3220" s="7" t="str">
        <f t="shared" si="730"/>
        <v>301</v>
      </c>
      <c r="C3220" s="7" t="s">
        <v>2583</v>
      </c>
      <c r="D3220" s="7" t="s">
        <v>2584</v>
      </c>
      <c r="E3220" s="7" t="str">
        <f>"左树堃"</f>
        <v>左树堃</v>
      </c>
      <c r="F3220" s="7" t="str">
        <f t="shared" si="732"/>
        <v>女</v>
      </c>
      <c r="G3220" s="7" t="s">
        <v>2654</v>
      </c>
      <c r="H3220" s="8"/>
    </row>
    <row r="3221" ht="25" customHeight="1" spans="1:8">
      <c r="A3221" s="6">
        <v>3219</v>
      </c>
      <c r="B3221" s="7" t="str">
        <f t="shared" si="730"/>
        <v>301</v>
      </c>
      <c r="C3221" s="7" t="s">
        <v>2583</v>
      </c>
      <c r="D3221" s="7" t="s">
        <v>2584</v>
      </c>
      <c r="E3221" s="7" t="str">
        <f>"吴雪婷"</f>
        <v>吴雪婷</v>
      </c>
      <c r="F3221" s="7" t="str">
        <f t="shared" si="732"/>
        <v>女</v>
      </c>
      <c r="G3221" s="7" t="s">
        <v>1036</v>
      </c>
      <c r="H3221" s="8"/>
    </row>
    <row r="3222" ht="25" customHeight="1" spans="1:8">
      <c r="A3222" s="6">
        <v>3220</v>
      </c>
      <c r="B3222" s="7" t="str">
        <f t="shared" si="730"/>
        <v>301</v>
      </c>
      <c r="C3222" s="7" t="s">
        <v>2583</v>
      </c>
      <c r="D3222" s="7" t="s">
        <v>2584</v>
      </c>
      <c r="E3222" s="7" t="str">
        <f>"符珍"</f>
        <v>符珍</v>
      </c>
      <c r="F3222" s="7" t="str">
        <f t="shared" si="732"/>
        <v>女</v>
      </c>
      <c r="G3222" s="7" t="s">
        <v>2655</v>
      </c>
      <c r="H3222" s="8"/>
    </row>
    <row r="3223" ht="25" customHeight="1" spans="1:8">
      <c r="A3223" s="6">
        <v>3221</v>
      </c>
      <c r="B3223" s="7" t="str">
        <f t="shared" si="730"/>
        <v>301</v>
      </c>
      <c r="C3223" s="7" t="s">
        <v>2583</v>
      </c>
      <c r="D3223" s="7" t="s">
        <v>2584</v>
      </c>
      <c r="E3223" s="7" t="str">
        <f>"覃业兰"</f>
        <v>覃业兰</v>
      </c>
      <c r="F3223" s="7" t="str">
        <f t="shared" si="732"/>
        <v>女</v>
      </c>
      <c r="G3223" s="7" t="s">
        <v>1307</v>
      </c>
      <c r="H3223" s="8"/>
    </row>
    <row r="3224" ht="25" customHeight="1" spans="1:8">
      <c r="A3224" s="6">
        <v>3222</v>
      </c>
      <c r="B3224" s="7" t="str">
        <f t="shared" si="730"/>
        <v>301</v>
      </c>
      <c r="C3224" s="7" t="s">
        <v>2583</v>
      </c>
      <c r="D3224" s="7" t="s">
        <v>2584</v>
      </c>
      <c r="E3224" s="7" t="str">
        <f>"张育宁"</f>
        <v>张育宁</v>
      </c>
      <c r="F3224" s="7" t="str">
        <f t="shared" si="732"/>
        <v>女</v>
      </c>
      <c r="G3224" s="7" t="s">
        <v>2034</v>
      </c>
      <c r="H3224" s="8"/>
    </row>
    <row r="3225" ht="25" customHeight="1" spans="1:8">
      <c r="A3225" s="6">
        <v>3223</v>
      </c>
      <c r="B3225" s="7" t="str">
        <f t="shared" si="730"/>
        <v>301</v>
      </c>
      <c r="C3225" s="7" t="s">
        <v>2583</v>
      </c>
      <c r="D3225" s="7" t="s">
        <v>2584</v>
      </c>
      <c r="E3225" s="7" t="str">
        <f>"梁文娜"</f>
        <v>梁文娜</v>
      </c>
      <c r="F3225" s="7" t="str">
        <f t="shared" si="732"/>
        <v>女</v>
      </c>
      <c r="G3225" s="7" t="s">
        <v>481</v>
      </c>
      <c r="H3225" s="8"/>
    </row>
    <row r="3226" ht="25" customHeight="1" spans="1:8">
      <c r="A3226" s="6">
        <v>3224</v>
      </c>
      <c r="B3226" s="7" t="str">
        <f t="shared" si="730"/>
        <v>301</v>
      </c>
      <c r="C3226" s="7" t="s">
        <v>2583</v>
      </c>
      <c r="D3226" s="7" t="s">
        <v>2584</v>
      </c>
      <c r="E3226" s="7" t="str">
        <f>"陈婧琦"</f>
        <v>陈婧琦</v>
      </c>
      <c r="F3226" s="7" t="str">
        <f t="shared" si="732"/>
        <v>女</v>
      </c>
      <c r="G3226" s="7" t="s">
        <v>1052</v>
      </c>
      <c r="H3226" s="8"/>
    </row>
    <row r="3227" ht="25" customHeight="1" spans="1:8">
      <c r="A3227" s="6">
        <v>3225</v>
      </c>
      <c r="B3227" s="7" t="str">
        <f t="shared" si="730"/>
        <v>301</v>
      </c>
      <c r="C3227" s="7" t="s">
        <v>2583</v>
      </c>
      <c r="D3227" s="7" t="s">
        <v>2584</v>
      </c>
      <c r="E3227" s="7" t="str">
        <f>"钟楠"</f>
        <v>钟楠</v>
      </c>
      <c r="F3227" s="7" t="str">
        <f t="shared" si="732"/>
        <v>女</v>
      </c>
      <c r="G3227" s="7" t="s">
        <v>2656</v>
      </c>
      <c r="H3227" s="8"/>
    </row>
    <row r="3228" ht="25" customHeight="1" spans="1:8">
      <c r="A3228" s="6">
        <v>3226</v>
      </c>
      <c r="B3228" s="7" t="str">
        <f t="shared" si="730"/>
        <v>301</v>
      </c>
      <c r="C3228" s="7" t="s">
        <v>2583</v>
      </c>
      <c r="D3228" s="7" t="s">
        <v>2584</v>
      </c>
      <c r="E3228" s="7" t="str">
        <f>"张文丽"</f>
        <v>张文丽</v>
      </c>
      <c r="F3228" s="7" t="str">
        <f t="shared" si="732"/>
        <v>女</v>
      </c>
      <c r="G3228" s="7" t="s">
        <v>2657</v>
      </c>
      <c r="H3228" s="8"/>
    </row>
    <row r="3229" ht="25" customHeight="1" spans="1:8">
      <c r="A3229" s="6">
        <v>3227</v>
      </c>
      <c r="B3229" s="7" t="str">
        <f t="shared" si="730"/>
        <v>301</v>
      </c>
      <c r="C3229" s="7" t="s">
        <v>2583</v>
      </c>
      <c r="D3229" s="7" t="s">
        <v>2584</v>
      </c>
      <c r="E3229" s="7" t="str">
        <f>"马芳"</f>
        <v>马芳</v>
      </c>
      <c r="F3229" s="7" t="str">
        <f t="shared" si="732"/>
        <v>女</v>
      </c>
      <c r="G3229" s="7" t="s">
        <v>2658</v>
      </c>
      <c r="H3229" s="8"/>
    </row>
    <row r="3230" ht="25" customHeight="1" spans="1:8">
      <c r="A3230" s="6">
        <v>3228</v>
      </c>
      <c r="B3230" s="7" t="str">
        <f t="shared" si="730"/>
        <v>301</v>
      </c>
      <c r="C3230" s="7" t="s">
        <v>2583</v>
      </c>
      <c r="D3230" s="7" t="s">
        <v>2584</v>
      </c>
      <c r="E3230" s="7" t="str">
        <f>"陶飞扬"</f>
        <v>陶飞扬</v>
      </c>
      <c r="F3230" s="7" t="str">
        <f>"男"</f>
        <v>男</v>
      </c>
      <c r="G3230" s="7" t="s">
        <v>2659</v>
      </c>
      <c r="H3230" s="8"/>
    </row>
    <row r="3231" ht="25" customHeight="1" spans="1:8">
      <c r="A3231" s="6">
        <v>3229</v>
      </c>
      <c r="B3231" s="7" t="str">
        <f t="shared" si="730"/>
        <v>301</v>
      </c>
      <c r="C3231" s="7" t="s">
        <v>2583</v>
      </c>
      <c r="D3231" s="7" t="s">
        <v>2584</v>
      </c>
      <c r="E3231" s="7" t="str">
        <f>"梁超群"</f>
        <v>梁超群</v>
      </c>
      <c r="F3231" s="7" t="str">
        <f t="shared" ref="F3231:F3235" si="733">"女"</f>
        <v>女</v>
      </c>
      <c r="G3231" s="7" t="s">
        <v>2660</v>
      </c>
      <c r="H3231" s="8"/>
    </row>
    <row r="3232" ht="25" customHeight="1" spans="1:8">
      <c r="A3232" s="6">
        <v>3230</v>
      </c>
      <c r="B3232" s="7" t="str">
        <f t="shared" si="730"/>
        <v>301</v>
      </c>
      <c r="C3232" s="7" t="s">
        <v>2583</v>
      </c>
      <c r="D3232" s="7" t="s">
        <v>2584</v>
      </c>
      <c r="E3232" s="7" t="str">
        <f>"王瑞"</f>
        <v>王瑞</v>
      </c>
      <c r="F3232" s="7" t="str">
        <f t="shared" si="733"/>
        <v>女</v>
      </c>
      <c r="G3232" s="7" t="s">
        <v>2661</v>
      </c>
      <c r="H3232" s="8"/>
    </row>
    <row r="3233" ht="25" customHeight="1" spans="1:8">
      <c r="A3233" s="6">
        <v>3231</v>
      </c>
      <c r="B3233" s="7" t="str">
        <f t="shared" si="730"/>
        <v>301</v>
      </c>
      <c r="C3233" s="7" t="s">
        <v>2583</v>
      </c>
      <c r="D3233" s="7" t="s">
        <v>2584</v>
      </c>
      <c r="E3233" s="7" t="str">
        <f>"李晨龄"</f>
        <v>李晨龄</v>
      </c>
      <c r="F3233" s="7" t="str">
        <f t="shared" si="733"/>
        <v>女</v>
      </c>
      <c r="G3233" s="7" t="s">
        <v>2547</v>
      </c>
      <c r="H3233" s="8"/>
    </row>
    <row r="3234" ht="25" customHeight="1" spans="1:8">
      <c r="A3234" s="6">
        <v>3232</v>
      </c>
      <c r="B3234" s="7" t="str">
        <f t="shared" si="730"/>
        <v>301</v>
      </c>
      <c r="C3234" s="7" t="s">
        <v>2583</v>
      </c>
      <c r="D3234" s="7" t="s">
        <v>2584</v>
      </c>
      <c r="E3234" s="7" t="str">
        <f>"肖静"</f>
        <v>肖静</v>
      </c>
      <c r="F3234" s="7" t="str">
        <f t="shared" si="733"/>
        <v>女</v>
      </c>
      <c r="G3234" s="7" t="s">
        <v>2662</v>
      </c>
      <c r="H3234" s="8"/>
    </row>
    <row r="3235" ht="25" customHeight="1" spans="1:8">
      <c r="A3235" s="6">
        <v>3233</v>
      </c>
      <c r="B3235" s="7" t="str">
        <f t="shared" si="730"/>
        <v>301</v>
      </c>
      <c r="C3235" s="7" t="s">
        <v>2583</v>
      </c>
      <c r="D3235" s="7" t="s">
        <v>2584</v>
      </c>
      <c r="E3235" s="7" t="str">
        <f>"符碧珍"</f>
        <v>符碧珍</v>
      </c>
      <c r="F3235" s="7" t="str">
        <f t="shared" si="733"/>
        <v>女</v>
      </c>
      <c r="G3235" s="7" t="s">
        <v>2529</v>
      </c>
      <c r="H3235" s="8"/>
    </row>
    <row r="3236" ht="25" customHeight="1" spans="1:8">
      <c r="A3236" s="6">
        <v>3234</v>
      </c>
      <c r="B3236" s="7" t="str">
        <f t="shared" si="730"/>
        <v>301</v>
      </c>
      <c r="C3236" s="7" t="s">
        <v>2583</v>
      </c>
      <c r="D3236" s="7" t="s">
        <v>2584</v>
      </c>
      <c r="E3236" s="7" t="str">
        <f>"陈玮玮"</f>
        <v>陈玮玮</v>
      </c>
      <c r="F3236" s="7" t="str">
        <f>"男"</f>
        <v>男</v>
      </c>
      <c r="G3236" s="7" t="s">
        <v>2663</v>
      </c>
      <c r="H3236" s="8"/>
    </row>
    <row r="3237" ht="25" customHeight="1" spans="1:8">
      <c r="A3237" s="6">
        <v>3235</v>
      </c>
      <c r="B3237" s="7" t="str">
        <f t="shared" si="730"/>
        <v>301</v>
      </c>
      <c r="C3237" s="7" t="s">
        <v>2583</v>
      </c>
      <c r="D3237" s="7" t="s">
        <v>2584</v>
      </c>
      <c r="E3237" s="7" t="str">
        <f>"祝可欣"</f>
        <v>祝可欣</v>
      </c>
      <c r="F3237" s="7" t="str">
        <f t="shared" ref="F3237:F3258" si="734">"女"</f>
        <v>女</v>
      </c>
      <c r="G3237" s="7" t="s">
        <v>2664</v>
      </c>
      <c r="H3237" s="8"/>
    </row>
    <row r="3238" ht="25" customHeight="1" spans="1:8">
      <c r="A3238" s="6">
        <v>3236</v>
      </c>
      <c r="B3238" s="7" t="str">
        <f t="shared" si="730"/>
        <v>301</v>
      </c>
      <c r="C3238" s="7" t="s">
        <v>2583</v>
      </c>
      <c r="D3238" s="7" t="s">
        <v>2584</v>
      </c>
      <c r="E3238" s="7" t="str">
        <f>"马铭荟"</f>
        <v>马铭荟</v>
      </c>
      <c r="F3238" s="7" t="str">
        <f t="shared" si="734"/>
        <v>女</v>
      </c>
      <c r="G3238" s="7" t="s">
        <v>2665</v>
      </c>
      <c r="H3238" s="8"/>
    </row>
    <row r="3239" ht="25" customHeight="1" spans="1:8">
      <c r="A3239" s="6">
        <v>3237</v>
      </c>
      <c r="B3239" s="7" t="str">
        <f t="shared" si="730"/>
        <v>301</v>
      </c>
      <c r="C3239" s="7" t="s">
        <v>2583</v>
      </c>
      <c r="D3239" s="7" t="s">
        <v>2584</v>
      </c>
      <c r="E3239" s="7" t="str">
        <f>"张蕙"</f>
        <v>张蕙</v>
      </c>
      <c r="F3239" s="7" t="str">
        <f t="shared" si="734"/>
        <v>女</v>
      </c>
      <c r="G3239" s="7" t="s">
        <v>2666</v>
      </c>
      <c r="H3239" s="8"/>
    </row>
    <row r="3240" ht="25" customHeight="1" spans="1:8">
      <c r="A3240" s="6">
        <v>3238</v>
      </c>
      <c r="B3240" s="7" t="str">
        <f t="shared" si="730"/>
        <v>301</v>
      </c>
      <c r="C3240" s="7" t="s">
        <v>2583</v>
      </c>
      <c r="D3240" s="7" t="s">
        <v>2584</v>
      </c>
      <c r="E3240" s="7" t="str">
        <f>"韦传玉"</f>
        <v>韦传玉</v>
      </c>
      <c r="F3240" s="7" t="str">
        <f t="shared" si="734"/>
        <v>女</v>
      </c>
      <c r="G3240" s="7" t="s">
        <v>287</v>
      </c>
      <c r="H3240" s="8"/>
    </row>
    <row r="3241" ht="25" customHeight="1" spans="1:8">
      <c r="A3241" s="6">
        <v>3239</v>
      </c>
      <c r="B3241" s="7" t="str">
        <f t="shared" si="730"/>
        <v>301</v>
      </c>
      <c r="C3241" s="7" t="s">
        <v>2583</v>
      </c>
      <c r="D3241" s="7" t="s">
        <v>2584</v>
      </c>
      <c r="E3241" s="7" t="str">
        <f>"温文琼"</f>
        <v>温文琼</v>
      </c>
      <c r="F3241" s="7" t="str">
        <f t="shared" si="734"/>
        <v>女</v>
      </c>
      <c r="G3241" s="7" t="s">
        <v>1047</v>
      </c>
      <c r="H3241" s="8"/>
    </row>
    <row r="3242" ht="25" customHeight="1" spans="1:8">
      <c r="A3242" s="6">
        <v>3240</v>
      </c>
      <c r="B3242" s="7" t="str">
        <f t="shared" si="730"/>
        <v>301</v>
      </c>
      <c r="C3242" s="7" t="s">
        <v>2583</v>
      </c>
      <c r="D3242" s="7" t="s">
        <v>2584</v>
      </c>
      <c r="E3242" s="7" t="str">
        <f>"符银苗"</f>
        <v>符银苗</v>
      </c>
      <c r="F3242" s="7" t="str">
        <f t="shared" si="734"/>
        <v>女</v>
      </c>
      <c r="G3242" s="7" t="s">
        <v>2667</v>
      </c>
      <c r="H3242" s="8"/>
    </row>
    <row r="3243" ht="25" customHeight="1" spans="1:8">
      <c r="A3243" s="6">
        <v>3241</v>
      </c>
      <c r="B3243" s="7" t="str">
        <f t="shared" si="730"/>
        <v>301</v>
      </c>
      <c r="C3243" s="7" t="s">
        <v>2583</v>
      </c>
      <c r="D3243" s="7" t="s">
        <v>2584</v>
      </c>
      <c r="E3243" s="7" t="str">
        <f>"赵木儋"</f>
        <v>赵木儋</v>
      </c>
      <c r="F3243" s="7" t="str">
        <f t="shared" si="734"/>
        <v>女</v>
      </c>
      <c r="G3243" s="7" t="s">
        <v>2668</v>
      </c>
      <c r="H3243" s="8"/>
    </row>
    <row r="3244" ht="25" customHeight="1" spans="1:8">
      <c r="A3244" s="6">
        <v>3242</v>
      </c>
      <c r="B3244" s="7" t="str">
        <f t="shared" si="730"/>
        <v>301</v>
      </c>
      <c r="C3244" s="7" t="s">
        <v>2583</v>
      </c>
      <c r="D3244" s="7" t="s">
        <v>2584</v>
      </c>
      <c r="E3244" s="7" t="str">
        <f>"黄悦娇"</f>
        <v>黄悦娇</v>
      </c>
      <c r="F3244" s="7" t="str">
        <f t="shared" si="734"/>
        <v>女</v>
      </c>
      <c r="G3244" s="7" t="s">
        <v>2669</v>
      </c>
      <c r="H3244" s="8"/>
    </row>
    <row r="3245" ht="25" customHeight="1" spans="1:8">
      <c r="A3245" s="6">
        <v>3243</v>
      </c>
      <c r="B3245" s="7" t="str">
        <f t="shared" si="730"/>
        <v>301</v>
      </c>
      <c r="C3245" s="7" t="s">
        <v>2583</v>
      </c>
      <c r="D3245" s="7" t="s">
        <v>2584</v>
      </c>
      <c r="E3245" s="7" t="str">
        <f>"盘六玉"</f>
        <v>盘六玉</v>
      </c>
      <c r="F3245" s="7" t="str">
        <f t="shared" si="734"/>
        <v>女</v>
      </c>
      <c r="G3245" s="7" t="s">
        <v>2670</v>
      </c>
      <c r="H3245" s="8"/>
    </row>
    <row r="3246" ht="25" customHeight="1" spans="1:8">
      <c r="A3246" s="6">
        <v>3244</v>
      </c>
      <c r="B3246" s="7" t="str">
        <f t="shared" si="730"/>
        <v>301</v>
      </c>
      <c r="C3246" s="7" t="s">
        <v>2583</v>
      </c>
      <c r="D3246" s="7" t="s">
        <v>2584</v>
      </c>
      <c r="E3246" s="7" t="str">
        <f>"高克芮"</f>
        <v>高克芮</v>
      </c>
      <c r="F3246" s="7" t="str">
        <f t="shared" si="734"/>
        <v>女</v>
      </c>
      <c r="G3246" s="7" t="s">
        <v>2671</v>
      </c>
      <c r="H3246" s="8"/>
    </row>
    <row r="3247" ht="25" customHeight="1" spans="1:8">
      <c r="A3247" s="6">
        <v>3245</v>
      </c>
      <c r="B3247" s="7" t="str">
        <f t="shared" si="730"/>
        <v>301</v>
      </c>
      <c r="C3247" s="7" t="s">
        <v>2583</v>
      </c>
      <c r="D3247" s="7" t="s">
        <v>2584</v>
      </c>
      <c r="E3247" s="7" t="str">
        <f>"吴小丽"</f>
        <v>吴小丽</v>
      </c>
      <c r="F3247" s="7" t="str">
        <f t="shared" si="734"/>
        <v>女</v>
      </c>
      <c r="G3247" s="7" t="s">
        <v>2672</v>
      </c>
      <c r="H3247" s="8"/>
    </row>
    <row r="3248" ht="25" customHeight="1" spans="1:8">
      <c r="A3248" s="6">
        <v>3246</v>
      </c>
      <c r="B3248" s="7" t="str">
        <f t="shared" si="730"/>
        <v>301</v>
      </c>
      <c r="C3248" s="7" t="s">
        <v>2583</v>
      </c>
      <c r="D3248" s="7" t="s">
        <v>2584</v>
      </c>
      <c r="E3248" s="7" t="str">
        <f>"李杏"</f>
        <v>李杏</v>
      </c>
      <c r="F3248" s="7" t="str">
        <f t="shared" si="734"/>
        <v>女</v>
      </c>
      <c r="G3248" s="7" t="s">
        <v>2673</v>
      </c>
      <c r="H3248" s="8"/>
    </row>
    <row r="3249" ht="25" customHeight="1" spans="1:8">
      <c r="A3249" s="6">
        <v>3247</v>
      </c>
      <c r="B3249" s="7" t="str">
        <f t="shared" si="730"/>
        <v>301</v>
      </c>
      <c r="C3249" s="7" t="s">
        <v>2583</v>
      </c>
      <c r="D3249" s="7" t="s">
        <v>2584</v>
      </c>
      <c r="E3249" s="7" t="str">
        <f>"刘琼"</f>
        <v>刘琼</v>
      </c>
      <c r="F3249" s="7" t="str">
        <f t="shared" si="734"/>
        <v>女</v>
      </c>
      <c r="G3249" s="7" t="s">
        <v>699</v>
      </c>
      <c r="H3249" s="8"/>
    </row>
    <row r="3250" ht="25" customHeight="1" spans="1:8">
      <c r="A3250" s="6">
        <v>3248</v>
      </c>
      <c r="B3250" s="7" t="str">
        <f t="shared" si="730"/>
        <v>301</v>
      </c>
      <c r="C3250" s="7" t="s">
        <v>2583</v>
      </c>
      <c r="D3250" s="7" t="s">
        <v>2584</v>
      </c>
      <c r="E3250" s="7" t="str">
        <f>"王舒涵"</f>
        <v>王舒涵</v>
      </c>
      <c r="F3250" s="7" t="str">
        <f t="shared" si="734"/>
        <v>女</v>
      </c>
      <c r="G3250" s="7" t="s">
        <v>2674</v>
      </c>
      <c r="H3250" s="8"/>
    </row>
    <row r="3251" ht="25" customHeight="1" spans="1:8">
      <c r="A3251" s="6">
        <v>3249</v>
      </c>
      <c r="B3251" s="7" t="str">
        <f t="shared" si="730"/>
        <v>301</v>
      </c>
      <c r="C3251" s="7" t="s">
        <v>2583</v>
      </c>
      <c r="D3251" s="7" t="s">
        <v>2584</v>
      </c>
      <c r="E3251" s="7" t="str">
        <f>"陈梦颜"</f>
        <v>陈梦颜</v>
      </c>
      <c r="F3251" s="7" t="str">
        <f t="shared" si="734"/>
        <v>女</v>
      </c>
      <c r="G3251" s="7" t="s">
        <v>2675</v>
      </c>
      <c r="H3251" s="8"/>
    </row>
    <row r="3252" ht="25" customHeight="1" spans="1:8">
      <c r="A3252" s="6">
        <v>3250</v>
      </c>
      <c r="B3252" s="7" t="str">
        <f t="shared" si="730"/>
        <v>301</v>
      </c>
      <c r="C3252" s="7" t="s">
        <v>2583</v>
      </c>
      <c r="D3252" s="7" t="s">
        <v>2584</v>
      </c>
      <c r="E3252" s="7" t="str">
        <f>"黄怡欣"</f>
        <v>黄怡欣</v>
      </c>
      <c r="F3252" s="7" t="str">
        <f t="shared" si="734"/>
        <v>女</v>
      </c>
      <c r="G3252" s="7" t="s">
        <v>2676</v>
      </c>
      <c r="H3252" s="8"/>
    </row>
    <row r="3253" ht="25" customHeight="1" spans="1:8">
      <c r="A3253" s="6">
        <v>3251</v>
      </c>
      <c r="B3253" s="7" t="str">
        <f t="shared" si="730"/>
        <v>301</v>
      </c>
      <c r="C3253" s="7" t="s">
        <v>2583</v>
      </c>
      <c r="D3253" s="7" t="s">
        <v>2584</v>
      </c>
      <c r="E3253" s="7" t="str">
        <f>"梁亚英"</f>
        <v>梁亚英</v>
      </c>
      <c r="F3253" s="7" t="str">
        <f t="shared" si="734"/>
        <v>女</v>
      </c>
      <c r="G3253" s="7" t="s">
        <v>2677</v>
      </c>
      <c r="H3253" s="8"/>
    </row>
    <row r="3254" ht="25" customHeight="1" spans="1:8">
      <c r="A3254" s="6">
        <v>3252</v>
      </c>
      <c r="B3254" s="7" t="str">
        <f t="shared" si="730"/>
        <v>301</v>
      </c>
      <c r="C3254" s="7" t="s">
        <v>2583</v>
      </c>
      <c r="D3254" s="7" t="s">
        <v>2584</v>
      </c>
      <c r="E3254" s="7" t="str">
        <f>"陈楚甯"</f>
        <v>陈楚甯</v>
      </c>
      <c r="F3254" s="7" t="str">
        <f t="shared" si="734"/>
        <v>女</v>
      </c>
      <c r="G3254" s="7" t="s">
        <v>2678</v>
      </c>
      <c r="H3254" s="8"/>
    </row>
    <row r="3255" ht="25" customHeight="1" spans="1:8">
      <c r="A3255" s="6">
        <v>3253</v>
      </c>
      <c r="B3255" s="7" t="str">
        <f t="shared" si="730"/>
        <v>301</v>
      </c>
      <c r="C3255" s="7" t="s">
        <v>2583</v>
      </c>
      <c r="D3255" s="7" t="s">
        <v>2584</v>
      </c>
      <c r="E3255" s="7" t="str">
        <f>"王容"</f>
        <v>王容</v>
      </c>
      <c r="F3255" s="7" t="str">
        <f t="shared" si="734"/>
        <v>女</v>
      </c>
      <c r="G3255" s="7" t="s">
        <v>2679</v>
      </c>
      <c r="H3255" s="8"/>
    </row>
    <row r="3256" ht="25" customHeight="1" spans="1:8">
      <c r="A3256" s="6">
        <v>3254</v>
      </c>
      <c r="B3256" s="7" t="str">
        <f t="shared" si="730"/>
        <v>301</v>
      </c>
      <c r="C3256" s="7" t="s">
        <v>2583</v>
      </c>
      <c r="D3256" s="7" t="s">
        <v>2584</v>
      </c>
      <c r="E3256" s="7" t="str">
        <f>"吴思莹"</f>
        <v>吴思莹</v>
      </c>
      <c r="F3256" s="7" t="str">
        <f t="shared" si="734"/>
        <v>女</v>
      </c>
      <c r="G3256" s="7" t="s">
        <v>2680</v>
      </c>
      <c r="H3256" s="8"/>
    </row>
    <row r="3257" ht="25" customHeight="1" spans="1:8">
      <c r="A3257" s="6">
        <v>3255</v>
      </c>
      <c r="B3257" s="7" t="str">
        <f t="shared" si="730"/>
        <v>301</v>
      </c>
      <c r="C3257" s="7" t="s">
        <v>2583</v>
      </c>
      <c r="D3257" s="7" t="s">
        <v>2584</v>
      </c>
      <c r="E3257" s="7" t="str">
        <f>"翁选慧"</f>
        <v>翁选慧</v>
      </c>
      <c r="F3257" s="7" t="str">
        <f t="shared" si="734"/>
        <v>女</v>
      </c>
      <c r="G3257" s="7" t="s">
        <v>2681</v>
      </c>
      <c r="H3257" s="8"/>
    </row>
    <row r="3258" ht="25" customHeight="1" spans="1:8">
      <c r="A3258" s="6">
        <v>3256</v>
      </c>
      <c r="B3258" s="7" t="str">
        <f t="shared" si="730"/>
        <v>301</v>
      </c>
      <c r="C3258" s="7" t="s">
        <v>2583</v>
      </c>
      <c r="D3258" s="7" t="s">
        <v>2584</v>
      </c>
      <c r="E3258" s="7" t="str">
        <f>"陈慧欣"</f>
        <v>陈慧欣</v>
      </c>
      <c r="F3258" s="7" t="str">
        <f t="shared" si="734"/>
        <v>女</v>
      </c>
      <c r="G3258" s="7" t="s">
        <v>2682</v>
      </c>
      <c r="H3258" s="8"/>
    </row>
    <row r="3259" ht="25" customHeight="1" spans="1:8">
      <c r="A3259" s="6">
        <v>3257</v>
      </c>
      <c r="B3259" s="7" t="str">
        <f t="shared" si="730"/>
        <v>301</v>
      </c>
      <c r="C3259" s="7" t="s">
        <v>2583</v>
      </c>
      <c r="D3259" s="7" t="s">
        <v>2584</v>
      </c>
      <c r="E3259" s="7" t="str">
        <f>"王泽强"</f>
        <v>王泽强</v>
      </c>
      <c r="F3259" s="7" t="str">
        <f>"男"</f>
        <v>男</v>
      </c>
      <c r="G3259" s="7" t="s">
        <v>2683</v>
      </c>
      <c r="H3259" s="8"/>
    </row>
    <row r="3260" ht="25" customHeight="1" spans="1:8">
      <c r="A3260" s="6">
        <v>3258</v>
      </c>
      <c r="B3260" s="7" t="str">
        <f t="shared" si="730"/>
        <v>301</v>
      </c>
      <c r="C3260" s="7" t="s">
        <v>2583</v>
      </c>
      <c r="D3260" s="7" t="s">
        <v>2584</v>
      </c>
      <c r="E3260" s="7" t="str">
        <f>"唐子国"</f>
        <v>唐子国</v>
      </c>
      <c r="F3260" s="7" t="str">
        <f>"男"</f>
        <v>男</v>
      </c>
      <c r="G3260" s="7" t="s">
        <v>1353</v>
      </c>
      <c r="H3260" s="8"/>
    </row>
    <row r="3261" ht="25" customHeight="1" spans="1:8">
      <c r="A3261" s="6">
        <v>3259</v>
      </c>
      <c r="B3261" s="7" t="str">
        <f t="shared" si="730"/>
        <v>301</v>
      </c>
      <c r="C3261" s="7" t="s">
        <v>2583</v>
      </c>
      <c r="D3261" s="7" t="s">
        <v>2584</v>
      </c>
      <c r="E3261" s="7" t="str">
        <f>"付淑婷"</f>
        <v>付淑婷</v>
      </c>
      <c r="F3261" s="7" t="str">
        <f t="shared" ref="F3261:F3267" si="735">"女"</f>
        <v>女</v>
      </c>
      <c r="G3261" s="7" t="s">
        <v>2684</v>
      </c>
      <c r="H3261" s="8"/>
    </row>
    <row r="3262" ht="25" customHeight="1" spans="1:8">
      <c r="A3262" s="6">
        <v>3260</v>
      </c>
      <c r="B3262" s="7" t="str">
        <f t="shared" ref="B3262:B3301" si="736">"301"</f>
        <v>301</v>
      </c>
      <c r="C3262" s="7" t="s">
        <v>2583</v>
      </c>
      <c r="D3262" s="7" t="s">
        <v>2584</v>
      </c>
      <c r="E3262" s="7" t="str">
        <f>"单思维"</f>
        <v>单思维</v>
      </c>
      <c r="F3262" s="7" t="str">
        <f t="shared" si="735"/>
        <v>女</v>
      </c>
      <c r="G3262" s="7" t="s">
        <v>2685</v>
      </c>
      <c r="H3262" s="8"/>
    </row>
    <row r="3263" ht="25" customHeight="1" spans="1:8">
      <c r="A3263" s="6">
        <v>3261</v>
      </c>
      <c r="B3263" s="7" t="str">
        <f t="shared" si="736"/>
        <v>301</v>
      </c>
      <c r="C3263" s="7" t="s">
        <v>2583</v>
      </c>
      <c r="D3263" s="7" t="s">
        <v>2584</v>
      </c>
      <c r="E3263" s="7" t="str">
        <f>"梁琬婧"</f>
        <v>梁琬婧</v>
      </c>
      <c r="F3263" s="7" t="str">
        <f t="shared" si="735"/>
        <v>女</v>
      </c>
      <c r="G3263" s="7" t="s">
        <v>2686</v>
      </c>
      <c r="H3263" s="8"/>
    </row>
    <row r="3264" ht="25" customHeight="1" spans="1:8">
      <c r="A3264" s="6">
        <v>3262</v>
      </c>
      <c r="B3264" s="7" t="str">
        <f t="shared" si="736"/>
        <v>301</v>
      </c>
      <c r="C3264" s="7" t="s">
        <v>2583</v>
      </c>
      <c r="D3264" s="7" t="s">
        <v>2584</v>
      </c>
      <c r="E3264" s="7" t="str">
        <f>"林雪玲"</f>
        <v>林雪玲</v>
      </c>
      <c r="F3264" s="7" t="str">
        <f t="shared" si="735"/>
        <v>女</v>
      </c>
      <c r="G3264" s="7" t="s">
        <v>2687</v>
      </c>
      <c r="H3264" s="8"/>
    </row>
    <row r="3265" ht="25" customHeight="1" spans="1:8">
      <c r="A3265" s="6">
        <v>3263</v>
      </c>
      <c r="B3265" s="7" t="str">
        <f t="shared" si="736"/>
        <v>301</v>
      </c>
      <c r="C3265" s="7" t="s">
        <v>2583</v>
      </c>
      <c r="D3265" s="7" t="s">
        <v>2584</v>
      </c>
      <c r="E3265" s="7" t="str">
        <f>"云杏芳"</f>
        <v>云杏芳</v>
      </c>
      <c r="F3265" s="7" t="str">
        <f t="shared" si="735"/>
        <v>女</v>
      </c>
      <c r="G3265" s="7" t="s">
        <v>2688</v>
      </c>
      <c r="H3265" s="8"/>
    </row>
    <row r="3266" ht="25" customHeight="1" spans="1:8">
      <c r="A3266" s="6">
        <v>3264</v>
      </c>
      <c r="B3266" s="7" t="str">
        <f t="shared" si="736"/>
        <v>301</v>
      </c>
      <c r="C3266" s="7" t="s">
        <v>2583</v>
      </c>
      <c r="D3266" s="7" t="s">
        <v>2584</v>
      </c>
      <c r="E3266" s="7" t="str">
        <f>"陈乔蓝"</f>
        <v>陈乔蓝</v>
      </c>
      <c r="F3266" s="7" t="str">
        <f t="shared" si="735"/>
        <v>女</v>
      </c>
      <c r="G3266" s="7" t="s">
        <v>2689</v>
      </c>
      <c r="H3266" s="8"/>
    </row>
    <row r="3267" ht="25" customHeight="1" spans="1:8">
      <c r="A3267" s="6">
        <v>3265</v>
      </c>
      <c r="B3267" s="7" t="str">
        <f t="shared" si="736"/>
        <v>301</v>
      </c>
      <c r="C3267" s="7" t="s">
        <v>2583</v>
      </c>
      <c r="D3267" s="7" t="s">
        <v>2584</v>
      </c>
      <c r="E3267" s="7" t="str">
        <f>"杨梅玲"</f>
        <v>杨梅玲</v>
      </c>
      <c r="F3267" s="7" t="str">
        <f t="shared" si="735"/>
        <v>女</v>
      </c>
      <c r="G3267" s="7" t="s">
        <v>2690</v>
      </c>
      <c r="H3267" s="8"/>
    </row>
    <row r="3268" ht="25" customHeight="1" spans="1:8">
      <c r="A3268" s="6">
        <v>3266</v>
      </c>
      <c r="B3268" s="7" t="str">
        <f t="shared" si="736"/>
        <v>301</v>
      </c>
      <c r="C3268" s="7" t="s">
        <v>2583</v>
      </c>
      <c r="D3268" s="7" t="s">
        <v>2584</v>
      </c>
      <c r="E3268" s="7" t="str">
        <f>"吉高望"</f>
        <v>吉高望</v>
      </c>
      <c r="F3268" s="7" t="str">
        <f>"男"</f>
        <v>男</v>
      </c>
      <c r="G3268" s="7" t="s">
        <v>2691</v>
      </c>
      <c r="H3268" s="8"/>
    </row>
    <row r="3269" ht="25" customHeight="1" spans="1:8">
      <c r="A3269" s="6">
        <v>3267</v>
      </c>
      <c r="B3269" s="7" t="str">
        <f t="shared" si="736"/>
        <v>301</v>
      </c>
      <c r="C3269" s="7" t="s">
        <v>2583</v>
      </c>
      <c r="D3269" s="7" t="s">
        <v>2584</v>
      </c>
      <c r="E3269" s="7" t="str">
        <f>"徐蕾"</f>
        <v>徐蕾</v>
      </c>
      <c r="F3269" s="7" t="str">
        <f t="shared" ref="F3269:F3276" si="737">"女"</f>
        <v>女</v>
      </c>
      <c r="G3269" s="7" t="s">
        <v>2692</v>
      </c>
      <c r="H3269" s="8"/>
    </row>
    <row r="3270" ht="25" customHeight="1" spans="1:8">
      <c r="A3270" s="6">
        <v>3268</v>
      </c>
      <c r="B3270" s="7" t="str">
        <f t="shared" si="736"/>
        <v>301</v>
      </c>
      <c r="C3270" s="7" t="s">
        <v>2583</v>
      </c>
      <c r="D3270" s="7" t="s">
        <v>2584</v>
      </c>
      <c r="E3270" s="7" t="str">
        <f>"伍姝宇"</f>
        <v>伍姝宇</v>
      </c>
      <c r="F3270" s="7" t="str">
        <f t="shared" si="737"/>
        <v>女</v>
      </c>
      <c r="G3270" s="7" t="s">
        <v>2693</v>
      </c>
      <c r="H3270" s="8"/>
    </row>
    <row r="3271" ht="25" customHeight="1" spans="1:8">
      <c r="A3271" s="6">
        <v>3269</v>
      </c>
      <c r="B3271" s="7" t="str">
        <f t="shared" si="736"/>
        <v>301</v>
      </c>
      <c r="C3271" s="7" t="s">
        <v>2583</v>
      </c>
      <c r="D3271" s="7" t="s">
        <v>2584</v>
      </c>
      <c r="E3271" s="7" t="str">
        <f>"谢明慧"</f>
        <v>谢明慧</v>
      </c>
      <c r="F3271" s="7" t="str">
        <f t="shared" si="737"/>
        <v>女</v>
      </c>
      <c r="G3271" s="7" t="s">
        <v>284</v>
      </c>
      <c r="H3271" s="8"/>
    </row>
    <row r="3272" ht="25" customHeight="1" spans="1:8">
      <c r="A3272" s="6">
        <v>3270</v>
      </c>
      <c r="B3272" s="7" t="str">
        <f t="shared" si="736"/>
        <v>301</v>
      </c>
      <c r="C3272" s="7" t="s">
        <v>2583</v>
      </c>
      <c r="D3272" s="7" t="s">
        <v>2584</v>
      </c>
      <c r="E3272" s="7" t="str">
        <f>"周虹霞"</f>
        <v>周虹霞</v>
      </c>
      <c r="F3272" s="7" t="str">
        <f t="shared" si="737"/>
        <v>女</v>
      </c>
      <c r="G3272" s="7" t="s">
        <v>2694</v>
      </c>
      <c r="H3272" s="8"/>
    </row>
    <row r="3273" ht="25" customHeight="1" spans="1:8">
      <c r="A3273" s="6">
        <v>3271</v>
      </c>
      <c r="B3273" s="7" t="str">
        <f t="shared" si="736"/>
        <v>301</v>
      </c>
      <c r="C3273" s="7" t="s">
        <v>2583</v>
      </c>
      <c r="D3273" s="7" t="s">
        <v>2584</v>
      </c>
      <c r="E3273" s="7" t="str">
        <f>"陈秀玲"</f>
        <v>陈秀玲</v>
      </c>
      <c r="F3273" s="7" t="str">
        <f t="shared" si="737"/>
        <v>女</v>
      </c>
      <c r="G3273" s="7" t="s">
        <v>898</v>
      </c>
      <c r="H3273" s="8"/>
    </row>
    <row r="3274" ht="25" customHeight="1" spans="1:8">
      <c r="A3274" s="6">
        <v>3272</v>
      </c>
      <c r="B3274" s="7" t="str">
        <f t="shared" si="736"/>
        <v>301</v>
      </c>
      <c r="C3274" s="7" t="s">
        <v>2583</v>
      </c>
      <c r="D3274" s="7" t="s">
        <v>2584</v>
      </c>
      <c r="E3274" s="7" t="str">
        <f>"华振微"</f>
        <v>华振微</v>
      </c>
      <c r="F3274" s="7" t="str">
        <f t="shared" si="737"/>
        <v>女</v>
      </c>
      <c r="G3274" s="7" t="s">
        <v>2695</v>
      </c>
      <c r="H3274" s="8"/>
    </row>
    <row r="3275" ht="25" customHeight="1" spans="1:8">
      <c r="A3275" s="6">
        <v>3273</v>
      </c>
      <c r="B3275" s="7" t="str">
        <f t="shared" si="736"/>
        <v>301</v>
      </c>
      <c r="C3275" s="7" t="s">
        <v>2583</v>
      </c>
      <c r="D3275" s="7" t="s">
        <v>2584</v>
      </c>
      <c r="E3275" s="7" t="str">
        <f>"魏海丽"</f>
        <v>魏海丽</v>
      </c>
      <c r="F3275" s="7" t="str">
        <f t="shared" si="737"/>
        <v>女</v>
      </c>
      <c r="G3275" s="7" t="s">
        <v>2696</v>
      </c>
      <c r="H3275" s="8"/>
    </row>
    <row r="3276" ht="25" customHeight="1" spans="1:8">
      <c r="A3276" s="6">
        <v>3274</v>
      </c>
      <c r="B3276" s="7" t="str">
        <f t="shared" si="736"/>
        <v>301</v>
      </c>
      <c r="C3276" s="7" t="s">
        <v>2583</v>
      </c>
      <c r="D3276" s="7" t="s">
        <v>2584</v>
      </c>
      <c r="E3276" s="7" t="str">
        <f>"裴史霜"</f>
        <v>裴史霜</v>
      </c>
      <c r="F3276" s="7" t="str">
        <f t="shared" si="737"/>
        <v>女</v>
      </c>
      <c r="G3276" s="7" t="s">
        <v>1178</v>
      </c>
      <c r="H3276" s="8"/>
    </row>
    <row r="3277" ht="25" customHeight="1" spans="1:8">
      <c r="A3277" s="6">
        <v>3275</v>
      </c>
      <c r="B3277" s="7" t="str">
        <f t="shared" si="736"/>
        <v>301</v>
      </c>
      <c r="C3277" s="7" t="s">
        <v>2583</v>
      </c>
      <c r="D3277" s="7" t="s">
        <v>2584</v>
      </c>
      <c r="E3277" s="7" t="str">
        <f>"郑仁蔚"</f>
        <v>郑仁蔚</v>
      </c>
      <c r="F3277" s="7" t="str">
        <f>"男"</f>
        <v>男</v>
      </c>
      <c r="G3277" s="7" t="s">
        <v>1175</v>
      </c>
      <c r="H3277" s="8"/>
    </row>
    <row r="3278" ht="25" customHeight="1" spans="1:8">
      <c r="A3278" s="6">
        <v>3276</v>
      </c>
      <c r="B3278" s="7" t="str">
        <f t="shared" si="736"/>
        <v>301</v>
      </c>
      <c r="C3278" s="7" t="s">
        <v>2583</v>
      </c>
      <c r="D3278" s="7" t="s">
        <v>2584</v>
      </c>
      <c r="E3278" s="7" t="str">
        <f>"高欣欣"</f>
        <v>高欣欣</v>
      </c>
      <c r="F3278" s="7" t="str">
        <f t="shared" ref="F3278:F3298" si="738">"女"</f>
        <v>女</v>
      </c>
      <c r="G3278" s="7" t="s">
        <v>170</v>
      </c>
      <c r="H3278" s="8"/>
    </row>
    <row r="3279" ht="25" customHeight="1" spans="1:8">
      <c r="A3279" s="6">
        <v>3277</v>
      </c>
      <c r="B3279" s="7" t="str">
        <f t="shared" si="736"/>
        <v>301</v>
      </c>
      <c r="C3279" s="7" t="s">
        <v>2583</v>
      </c>
      <c r="D3279" s="7" t="s">
        <v>2584</v>
      </c>
      <c r="E3279" s="7" t="str">
        <f>"陆运佳"</f>
        <v>陆运佳</v>
      </c>
      <c r="F3279" s="7" t="str">
        <f t="shared" si="738"/>
        <v>女</v>
      </c>
      <c r="G3279" s="7" t="s">
        <v>2697</v>
      </c>
      <c r="H3279" s="8"/>
    </row>
    <row r="3280" ht="25" customHeight="1" spans="1:8">
      <c r="A3280" s="6">
        <v>3278</v>
      </c>
      <c r="B3280" s="7" t="str">
        <f t="shared" si="736"/>
        <v>301</v>
      </c>
      <c r="C3280" s="7" t="s">
        <v>2583</v>
      </c>
      <c r="D3280" s="7" t="s">
        <v>2584</v>
      </c>
      <c r="E3280" s="7" t="str">
        <f>"王芸茵"</f>
        <v>王芸茵</v>
      </c>
      <c r="F3280" s="7" t="str">
        <f t="shared" si="738"/>
        <v>女</v>
      </c>
      <c r="G3280" s="7" t="s">
        <v>308</v>
      </c>
      <c r="H3280" s="8"/>
    </row>
    <row r="3281" ht="25" customHeight="1" spans="1:8">
      <c r="A3281" s="6">
        <v>3279</v>
      </c>
      <c r="B3281" s="7" t="str">
        <f t="shared" si="736"/>
        <v>301</v>
      </c>
      <c r="C3281" s="7" t="s">
        <v>2583</v>
      </c>
      <c r="D3281" s="7" t="s">
        <v>2584</v>
      </c>
      <c r="E3281" s="7" t="str">
        <f>"黎芸"</f>
        <v>黎芸</v>
      </c>
      <c r="F3281" s="7" t="str">
        <f t="shared" si="738"/>
        <v>女</v>
      </c>
      <c r="G3281" s="7" t="s">
        <v>2698</v>
      </c>
      <c r="H3281" s="8"/>
    </row>
    <row r="3282" ht="25" customHeight="1" spans="1:8">
      <c r="A3282" s="6">
        <v>3280</v>
      </c>
      <c r="B3282" s="7" t="str">
        <f t="shared" si="736"/>
        <v>301</v>
      </c>
      <c r="C3282" s="7" t="s">
        <v>2583</v>
      </c>
      <c r="D3282" s="7" t="s">
        <v>2584</v>
      </c>
      <c r="E3282" s="7" t="str">
        <f>"苏香敏"</f>
        <v>苏香敏</v>
      </c>
      <c r="F3282" s="7" t="str">
        <f t="shared" si="738"/>
        <v>女</v>
      </c>
      <c r="G3282" s="7" t="s">
        <v>2699</v>
      </c>
      <c r="H3282" s="8"/>
    </row>
    <row r="3283" ht="25" customHeight="1" spans="1:8">
      <c r="A3283" s="6">
        <v>3281</v>
      </c>
      <c r="B3283" s="7" t="str">
        <f t="shared" si="736"/>
        <v>301</v>
      </c>
      <c r="C3283" s="7" t="s">
        <v>2583</v>
      </c>
      <c r="D3283" s="7" t="s">
        <v>2584</v>
      </c>
      <c r="E3283" s="7" t="str">
        <f>"黄玲"</f>
        <v>黄玲</v>
      </c>
      <c r="F3283" s="7" t="str">
        <f t="shared" si="738"/>
        <v>女</v>
      </c>
      <c r="G3283" s="7" t="s">
        <v>2700</v>
      </c>
      <c r="H3283" s="8"/>
    </row>
    <row r="3284" ht="25" customHeight="1" spans="1:8">
      <c r="A3284" s="6">
        <v>3282</v>
      </c>
      <c r="B3284" s="7" t="str">
        <f t="shared" si="736"/>
        <v>301</v>
      </c>
      <c r="C3284" s="7" t="s">
        <v>2583</v>
      </c>
      <c r="D3284" s="7" t="s">
        <v>2584</v>
      </c>
      <c r="E3284" s="7" t="str">
        <f>"王爽"</f>
        <v>王爽</v>
      </c>
      <c r="F3284" s="7" t="str">
        <f t="shared" si="738"/>
        <v>女</v>
      </c>
      <c r="G3284" s="7" t="s">
        <v>2701</v>
      </c>
      <c r="H3284" s="8"/>
    </row>
    <row r="3285" ht="25" customHeight="1" spans="1:8">
      <c r="A3285" s="6">
        <v>3283</v>
      </c>
      <c r="B3285" s="7" t="str">
        <f t="shared" si="736"/>
        <v>301</v>
      </c>
      <c r="C3285" s="7" t="s">
        <v>2583</v>
      </c>
      <c r="D3285" s="7" t="s">
        <v>2584</v>
      </c>
      <c r="E3285" s="7" t="str">
        <f>"云潇慧"</f>
        <v>云潇慧</v>
      </c>
      <c r="F3285" s="7" t="str">
        <f t="shared" si="738"/>
        <v>女</v>
      </c>
      <c r="G3285" s="7" t="s">
        <v>2702</v>
      </c>
      <c r="H3285" s="8"/>
    </row>
    <row r="3286" ht="25" customHeight="1" spans="1:8">
      <c r="A3286" s="6">
        <v>3284</v>
      </c>
      <c r="B3286" s="7" t="str">
        <f t="shared" si="736"/>
        <v>301</v>
      </c>
      <c r="C3286" s="7" t="s">
        <v>2583</v>
      </c>
      <c r="D3286" s="7" t="s">
        <v>2584</v>
      </c>
      <c r="E3286" s="7" t="str">
        <f>"钟鹤娴"</f>
        <v>钟鹤娴</v>
      </c>
      <c r="F3286" s="7" t="str">
        <f t="shared" si="738"/>
        <v>女</v>
      </c>
      <c r="G3286" s="7" t="s">
        <v>2703</v>
      </c>
      <c r="H3286" s="8"/>
    </row>
    <row r="3287" ht="25" customHeight="1" spans="1:8">
      <c r="A3287" s="6">
        <v>3285</v>
      </c>
      <c r="B3287" s="7" t="str">
        <f t="shared" si="736"/>
        <v>301</v>
      </c>
      <c r="C3287" s="7" t="s">
        <v>2583</v>
      </c>
      <c r="D3287" s="7" t="s">
        <v>2584</v>
      </c>
      <c r="E3287" s="7" t="str">
        <f>"周晓红"</f>
        <v>周晓红</v>
      </c>
      <c r="F3287" s="7" t="str">
        <f t="shared" si="738"/>
        <v>女</v>
      </c>
      <c r="G3287" s="7" t="s">
        <v>383</v>
      </c>
      <c r="H3287" s="8"/>
    </row>
    <row r="3288" ht="25" customHeight="1" spans="1:8">
      <c r="A3288" s="6">
        <v>3286</v>
      </c>
      <c r="B3288" s="7" t="str">
        <f t="shared" si="736"/>
        <v>301</v>
      </c>
      <c r="C3288" s="7" t="s">
        <v>2583</v>
      </c>
      <c r="D3288" s="7" t="s">
        <v>2584</v>
      </c>
      <c r="E3288" s="7" t="str">
        <f>"吉晶晶"</f>
        <v>吉晶晶</v>
      </c>
      <c r="F3288" s="7" t="str">
        <f t="shared" si="738"/>
        <v>女</v>
      </c>
      <c r="G3288" s="7" t="s">
        <v>310</v>
      </c>
      <c r="H3288" s="8"/>
    </row>
    <row r="3289" ht="25" customHeight="1" spans="1:8">
      <c r="A3289" s="6">
        <v>3287</v>
      </c>
      <c r="B3289" s="7" t="str">
        <f t="shared" si="736"/>
        <v>301</v>
      </c>
      <c r="C3289" s="7" t="s">
        <v>2583</v>
      </c>
      <c r="D3289" s="7" t="s">
        <v>2584</v>
      </c>
      <c r="E3289" s="7" t="str">
        <f>"梁颖"</f>
        <v>梁颖</v>
      </c>
      <c r="F3289" s="7" t="str">
        <f t="shared" si="738"/>
        <v>女</v>
      </c>
      <c r="G3289" s="7" t="s">
        <v>2704</v>
      </c>
      <c r="H3289" s="8"/>
    </row>
    <row r="3290" ht="25" customHeight="1" spans="1:8">
      <c r="A3290" s="6">
        <v>3288</v>
      </c>
      <c r="B3290" s="7" t="str">
        <f t="shared" si="736"/>
        <v>301</v>
      </c>
      <c r="C3290" s="7" t="s">
        <v>2583</v>
      </c>
      <c r="D3290" s="7" t="s">
        <v>2584</v>
      </c>
      <c r="E3290" s="7" t="str">
        <f>"祝欢欣"</f>
        <v>祝欢欣</v>
      </c>
      <c r="F3290" s="7" t="str">
        <f t="shared" si="738"/>
        <v>女</v>
      </c>
      <c r="G3290" s="7" t="s">
        <v>2705</v>
      </c>
      <c r="H3290" s="8"/>
    </row>
    <row r="3291" ht="25" customHeight="1" spans="1:8">
      <c r="A3291" s="6">
        <v>3289</v>
      </c>
      <c r="B3291" s="7" t="str">
        <f t="shared" si="736"/>
        <v>301</v>
      </c>
      <c r="C3291" s="7" t="s">
        <v>2583</v>
      </c>
      <c r="D3291" s="7" t="s">
        <v>2584</v>
      </c>
      <c r="E3291" s="7" t="str">
        <f>"陈丹红"</f>
        <v>陈丹红</v>
      </c>
      <c r="F3291" s="7" t="str">
        <f t="shared" si="738"/>
        <v>女</v>
      </c>
      <c r="G3291" s="7" t="s">
        <v>2706</v>
      </c>
      <c r="H3291" s="8"/>
    </row>
    <row r="3292" ht="25" customHeight="1" spans="1:8">
      <c r="A3292" s="6">
        <v>3290</v>
      </c>
      <c r="B3292" s="7" t="str">
        <f t="shared" si="736"/>
        <v>301</v>
      </c>
      <c r="C3292" s="7" t="s">
        <v>2583</v>
      </c>
      <c r="D3292" s="7" t="s">
        <v>2584</v>
      </c>
      <c r="E3292" s="7" t="str">
        <f>"梁雪琴"</f>
        <v>梁雪琴</v>
      </c>
      <c r="F3292" s="7" t="str">
        <f t="shared" si="738"/>
        <v>女</v>
      </c>
      <c r="G3292" s="7" t="s">
        <v>1395</v>
      </c>
      <c r="H3292" s="8"/>
    </row>
    <row r="3293" ht="25" customHeight="1" spans="1:8">
      <c r="A3293" s="6">
        <v>3291</v>
      </c>
      <c r="B3293" s="7" t="str">
        <f t="shared" si="736"/>
        <v>301</v>
      </c>
      <c r="C3293" s="7" t="s">
        <v>2583</v>
      </c>
      <c r="D3293" s="7" t="s">
        <v>2584</v>
      </c>
      <c r="E3293" s="7" t="str">
        <f>"董娜"</f>
        <v>董娜</v>
      </c>
      <c r="F3293" s="7" t="str">
        <f t="shared" si="738"/>
        <v>女</v>
      </c>
      <c r="G3293" s="7" t="s">
        <v>2707</v>
      </c>
      <c r="H3293" s="8"/>
    </row>
    <row r="3294" ht="25" customHeight="1" spans="1:8">
      <c r="A3294" s="6">
        <v>3292</v>
      </c>
      <c r="B3294" s="7" t="str">
        <f t="shared" si="736"/>
        <v>301</v>
      </c>
      <c r="C3294" s="7" t="s">
        <v>2583</v>
      </c>
      <c r="D3294" s="7" t="s">
        <v>2584</v>
      </c>
      <c r="E3294" s="7" t="str">
        <f>"陈香宇"</f>
        <v>陈香宇</v>
      </c>
      <c r="F3294" s="7" t="str">
        <f t="shared" si="738"/>
        <v>女</v>
      </c>
      <c r="G3294" s="7" t="s">
        <v>376</v>
      </c>
      <c r="H3294" s="8"/>
    </row>
    <row r="3295" ht="25" customHeight="1" spans="1:8">
      <c r="A3295" s="6">
        <v>3293</v>
      </c>
      <c r="B3295" s="7" t="str">
        <f t="shared" si="736"/>
        <v>301</v>
      </c>
      <c r="C3295" s="7" t="s">
        <v>2583</v>
      </c>
      <c r="D3295" s="7" t="s">
        <v>2584</v>
      </c>
      <c r="E3295" s="7" t="str">
        <f>"陈积丹"</f>
        <v>陈积丹</v>
      </c>
      <c r="F3295" s="7" t="str">
        <f t="shared" si="738"/>
        <v>女</v>
      </c>
      <c r="G3295" s="7" t="s">
        <v>371</v>
      </c>
      <c r="H3295" s="8"/>
    </row>
    <row r="3296" ht="25" customHeight="1" spans="1:8">
      <c r="A3296" s="6">
        <v>3294</v>
      </c>
      <c r="B3296" s="7" t="str">
        <f t="shared" si="736"/>
        <v>301</v>
      </c>
      <c r="C3296" s="7" t="s">
        <v>2583</v>
      </c>
      <c r="D3296" s="7" t="s">
        <v>2584</v>
      </c>
      <c r="E3296" s="7" t="str">
        <f>"黄欣"</f>
        <v>黄欣</v>
      </c>
      <c r="F3296" s="7" t="str">
        <f t="shared" si="738"/>
        <v>女</v>
      </c>
      <c r="G3296" s="7" t="s">
        <v>235</v>
      </c>
      <c r="H3296" s="8"/>
    </row>
    <row r="3297" ht="25" customHeight="1" spans="1:8">
      <c r="A3297" s="6">
        <v>3295</v>
      </c>
      <c r="B3297" s="7" t="str">
        <f t="shared" si="736"/>
        <v>301</v>
      </c>
      <c r="C3297" s="7" t="s">
        <v>2583</v>
      </c>
      <c r="D3297" s="7" t="s">
        <v>2584</v>
      </c>
      <c r="E3297" s="7" t="str">
        <f>"陈思婷"</f>
        <v>陈思婷</v>
      </c>
      <c r="F3297" s="7" t="str">
        <f t="shared" si="738"/>
        <v>女</v>
      </c>
      <c r="G3297" s="7" t="s">
        <v>2708</v>
      </c>
      <c r="H3297" s="8"/>
    </row>
    <row r="3298" ht="25" customHeight="1" spans="1:8">
      <c r="A3298" s="6">
        <v>3296</v>
      </c>
      <c r="B3298" s="7" t="str">
        <f t="shared" si="736"/>
        <v>301</v>
      </c>
      <c r="C3298" s="7" t="s">
        <v>2583</v>
      </c>
      <c r="D3298" s="7" t="s">
        <v>2584</v>
      </c>
      <c r="E3298" s="7" t="str">
        <f>"贺玲欣"</f>
        <v>贺玲欣</v>
      </c>
      <c r="F3298" s="7" t="str">
        <f t="shared" si="738"/>
        <v>女</v>
      </c>
      <c r="G3298" s="7" t="s">
        <v>2709</v>
      </c>
      <c r="H3298" s="8"/>
    </row>
    <row r="3299" ht="25" customHeight="1" spans="1:8">
      <c r="A3299" s="6">
        <v>3297</v>
      </c>
      <c r="B3299" s="7" t="str">
        <f t="shared" si="736"/>
        <v>301</v>
      </c>
      <c r="C3299" s="7" t="s">
        <v>2583</v>
      </c>
      <c r="D3299" s="7" t="s">
        <v>2584</v>
      </c>
      <c r="E3299" s="7" t="str">
        <f>"黄飞虎"</f>
        <v>黄飞虎</v>
      </c>
      <c r="F3299" s="7" t="str">
        <f>"男"</f>
        <v>男</v>
      </c>
      <c r="G3299" s="7" t="s">
        <v>2710</v>
      </c>
      <c r="H3299" s="8"/>
    </row>
    <row r="3300" ht="25" customHeight="1" spans="1:8">
      <c r="A3300" s="6">
        <v>3298</v>
      </c>
      <c r="B3300" s="7" t="str">
        <f t="shared" si="736"/>
        <v>301</v>
      </c>
      <c r="C3300" s="7" t="s">
        <v>2583</v>
      </c>
      <c r="D3300" s="7" t="s">
        <v>2584</v>
      </c>
      <c r="E3300" s="7" t="str">
        <f>"王惠"</f>
        <v>王惠</v>
      </c>
      <c r="F3300" s="7" t="str">
        <f t="shared" ref="F3300:F3302" si="739">"女"</f>
        <v>女</v>
      </c>
      <c r="G3300" s="7" t="s">
        <v>2393</v>
      </c>
      <c r="H3300" s="8"/>
    </row>
    <row r="3301" ht="25" customHeight="1" spans="1:8">
      <c r="A3301" s="6">
        <v>3299</v>
      </c>
      <c r="B3301" s="7" t="str">
        <f t="shared" si="736"/>
        <v>301</v>
      </c>
      <c r="C3301" s="7" t="s">
        <v>2583</v>
      </c>
      <c r="D3301" s="7" t="s">
        <v>2584</v>
      </c>
      <c r="E3301" s="7" t="str">
        <f>"许嘉倩"</f>
        <v>许嘉倩</v>
      </c>
      <c r="F3301" s="7" t="str">
        <f t="shared" si="739"/>
        <v>女</v>
      </c>
      <c r="G3301" s="7" t="s">
        <v>2711</v>
      </c>
      <c r="H3301" s="8"/>
    </row>
    <row r="3302" ht="25" customHeight="1" spans="1:8">
      <c r="A3302" s="6">
        <v>3300</v>
      </c>
      <c r="B3302" s="7" t="str">
        <f t="shared" ref="B3302:B3365" si="740">"302"</f>
        <v>302</v>
      </c>
      <c r="C3302" s="7" t="s">
        <v>2712</v>
      </c>
      <c r="D3302" s="7" t="s">
        <v>2584</v>
      </c>
      <c r="E3302" s="7" t="str">
        <f>"李云"</f>
        <v>李云</v>
      </c>
      <c r="F3302" s="7" t="str">
        <f t="shared" si="739"/>
        <v>女</v>
      </c>
      <c r="G3302" s="7" t="s">
        <v>2713</v>
      </c>
      <c r="H3302" s="8"/>
    </row>
    <row r="3303" ht="25" customHeight="1" spans="1:8">
      <c r="A3303" s="6">
        <v>3301</v>
      </c>
      <c r="B3303" s="7" t="str">
        <f t="shared" si="740"/>
        <v>302</v>
      </c>
      <c r="C3303" s="7" t="s">
        <v>2712</v>
      </c>
      <c r="D3303" s="7" t="s">
        <v>2584</v>
      </c>
      <c r="E3303" s="7" t="str">
        <f>"赵玉景"</f>
        <v>赵玉景</v>
      </c>
      <c r="F3303" s="7" t="str">
        <f>"男"</f>
        <v>男</v>
      </c>
      <c r="G3303" s="7" t="s">
        <v>2714</v>
      </c>
      <c r="H3303" s="8"/>
    </row>
    <row r="3304" ht="25" customHeight="1" spans="1:8">
      <c r="A3304" s="6">
        <v>3302</v>
      </c>
      <c r="B3304" s="7" t="str">
        <f t="shared" si="740"/>
        <v>302</v>
      </c>
      <c r="C3304" s="7" t="s">
        <v>2712</v>
      </c>
      <c r="D3304" s="7" t="s">
        <v>2584</v>
      </c>
      <c r="E3304" s="7" t="str">
        <f>"胡艳霞"</f>
        <v>胡艳霞</v>
      </c>
      <c r="F3304" s="7" t="str">
        <f t="shared" ref="F3304:F3307" si="741">"女"</f>
        <v>女</v>
      </c>
      <c r="G3304" s="7" t="s">
        <v>2715</v>
      </c>
      <c r="H3304" s="8"/>
    </row>
    <row r="3305" ht="25" customHeight="1" spans="1:8">
      <c r="A3305" s="6">
        <v>3303</v>
      </c>
      <c r="B3305" s="7" t="str">
        <f t="shared" si="740"/>
        <v>302</v>
      </c>
      <c r="C3305" s="7" t="s">
        <v>2712</v>
      </c>
      <c r="D3305" s="7" t="s">
        <v>2584</v>
      </c>
      <c r="E3305" s="7" t="str">
        <f>"林杏妙"</f>
        <v>林杏妙</v>
      </c>
      <c r="F3305" s="7" t="str">
        <f t="shared" si="741"/>
        <v>女</v>
      </c>
      <c r="G3305" s="7" t="s">
        <v>898</v>
      </c>
      <c r="H3305" s="8"/>
    </row>
    <row r="3306" ht="25" customHeight="1" spans="1:8">
      <c r="A3306" s="6">
        <v>3304</v>
      </c>
      <c r="B3306" s="7" t="str">
        <f t="shared" si="740"/>
        <v>302</v>
      </c>
      <c r="C3306" s="7" t="s">
        <v>2712</v>
      </c>
      <c r="D3306" s="7" t="s">
        <v>2584</v>
      </c>
      <c r="E3306" s="7" t="str">
        <f>"李小琳"</f>
        <v>李小琳</v>
      </c>
      <c r="F3306" s="7" t="str">
        <f t="shared" si="741"/>
        <v>女</v>
      </c>
      <c r="G3306" s="7" t="s">
        <v>2716</v>
      </c>
      <c r="H3306" s="8"/>
    </row>
    <row r="3307" ht="25" customHeight="1" spans="1:8">
      <c r="A3307" s="6">
        <v>3305</v>
      </c>
      <c r="B3307" s="7" t="str">
        <f t="shared" si="740"/>
        <v>302</v>
      </c>
      <c r="C3307" s="7" t="s">
        <v>2712</v>
      </c>
      <c r="D3307" s="7" t="s">
        <v>2584</v>
      </c>
      <c r="E3307" s="7" t="str">
        <f>"王玉娇"</f>
        <v>王玉娇</v>
      </c>
      <c r="F3307" s="7" t="str">
        <f t="shared" si="741"/>
        <v>女</v>
      </c>
      <c r="G3307" s="7" t="s">
        <v>2717</v>
      </c>
      <c r="H3307" s="8"/>
    </row>
    <row r="3308" ht="25" customHeight="1" spans="1:8">
      <c r="A3308" s="6">
        <v>3306</v>
      </c>
      <c r="B3308" s="7" t="str">
        <f t="shared" si="740"/>
        <v>302</v>
      </c>
      <c r="C3308" s="7" t="s">
        <v>2712</v>
      </c>
      <c r="D3308" s="7" t="s">
        <v>2584</v>
      </c>
      <c r="E3308" s="7" t="str">
        <f>"杨延称"</f>
        <v>杨延称</v>
      </c>
      <c r="F3308" s="7" t="str">
        <f>"男"</f>
        <v>男</v>
      </c>
      <c r="G3308" s="7" t="s">
        <v>2718</v>
      </c>
      <c r="H3308" s="8"/>
    </row>
    <row r="3309" ht="25" customHeight="1" spans="1:8">
      <c r="A3309" s="6">
        <v>3307</v>
      </c>
      <c r="B3309" s="7" t="str">
        <f t="shared" si="740"/>
        <v>302</v>
      </c>
      <c r="C3309" s="7" t="s">
        <v>2712</v>
      </c>
      <c r="D3309" s="7" t="s">
        <v>2584</v>
      </c>
      <c r="E3309" s="7" t="str">
        <f>"宋令梅"</f>
        <v>宋令梅</v>
      </c>
      <c r="F3309" s="7" t="str">
        <f t="shared" ref="F3309:F3313" si="742">"女"</f>
        <v>女</v>
      </c>
      <c r="G3309" s="7" t="s">
        <v>2719</v>
      </c>
      <c r="H3309" s="8"/>
    </row>
    <row r="3310" ht="25" customHeight="1" spans="1:8">
      <c r="A3310" s="6">
        <v>3308</v>
      </c>
      <c r="B3310" s="7" t="str">
        <f t="shared" si="740"/>
        <v>302</v>
      </c>
      <c r="C3310" s="7" t="s">
        <v>2712</v>
      </c>
      <c r="D3310" s="7" t="s">
        <v>2584</v>
      </c>
      <c r="E3310" s="7" t="str">
        <f>"李晓宇"</f>
        <v>李晓宇</v>
      </c>
      <c r="F3310" s="7" t="str">
        <f t="shared" si="742"/>
        <v>女</v>
      </c>
      <c r="G3310" s="7" t="s">
        <v>2720</v>
      </c>
      <c r="H3310" s="8"/>
    </row>
    <row r="3311" ht="25" customHeight="1" spans="1:8">
      <c r="A3311" s="6">
        <v>3309</v>
      </c>
      <c r="B3311" s="7" t="str">
        <f t="shared" si="740"/>
        <v>302</v>
      </c>
      <c r="C3311" s="7" t="s">
        <v>2712</v>
      </c>
      <c r="D3311" s="7" t="s">
        <v>2584</v>
      </c>
      <c r="E3311" s="7" t="str">
        <f>"褚桐"</f>
        <v>褚桐</v>
      </c>
      <c r="F3311" s="7" t="str">
        <f>"男"</f>
        <v>男</v>
      </c>
      <c r="G3311" s="7" t="s">
        <v>2721</v>
      </c>
      <c r="H3311" s="8"/>
    </row>
    <row r="3312" ht="25" customHeight="1" spans="1:8">
      <c r="A3312" s="6">
        <v>3310</v>
      </c>
      <c r="B3312" s="7" t="str">
        <f t="shared" si="740"/>
        <v>302</v>
      </c>
      <c r="C3312" s="7" t="s">
        <v>2712</v>
      </c>
      <c r="D3312" s="7" t="s">
        <v>2584</v>
      </c>
      <c r="E3312" s="7" t="str">
        <f>"王香九"</f>
        <v>王香九</v>
      </c>
      <c r="F3312" s="7" t="str">
        <f t="shared" si="742"/>
        <v>女</v>
      </c>
      <c r="G3312" s="7" t="s">
        <v>2722</v>
      </c>
      <c r="H3312" s="8"/>
    </row>
    <row r="3313" ht="25" customHeight="1" spans="1:8">
      <c r="A3313" s="6">
        <v>3311</v>
      </c>
      <c r="B3313" s="7" t="str">
        <f t="shared" si="740"/>
        <v>302</v>
      </c>
      <c r="C3313" s="7" t="s">
        <v>2712</v>
      </c>
      <c r="D3313" s="7" t="s">
        <v>2584</v>
      </c>
      <c r="E3313" s="7" t="str">
        <f>"文良旭子"</f>
        <v>文良旭子</v>
      </c>
      <c r="F3313" s="7" t="str">
        <f t="shared" si="742"/>
        <v>女</v>
      </c>
      <c r="G3313" s="7" t="s">
        <v>2723</v>
      </c>
      <c r="H3313" s="8"/>
    </row>
    <row r="3314" ht="25" customHeight="1" spans="1:8">
      <c r="A3314" s="6">
        <v>3312</v>
      </c>
      <c r="B3314" s="7" t="str">
        <f t="shared" si="740"/>
        <v>302</v>
      </c>
      <c r="C3314" s="7" t="s">
        <v>2712</v>
      </c>
      <c r="D3314" s="7" t="s">
        <v>2584</v>
      </c>
      <c r="E3314" s="7" t="str">
        <f>"谢乐"</f>
        <v>谢乐</v>
      </c>
      <c r="F3314" s="7" t="str">
        <f>"男"</f>
        <v>男</v>
      </c>
      <c r="G3314" s="7" t="s">
        <v>2724</v>
      </c>
      <c r="H3314" s="8"/>
    </row>
    <row r="3315" ht="25" customHeight="1" spans="1:8">
      <c r="A3315" s="6">
        <v>3313</v>
      </c>
      <c r="B3315" s="7" t="str">
        <f t="shared" si="740"/>
        <v>302</v>
      </c>
      <c r="C3315" s="7" t="s">
        <v>2712</v>
      </c>
      <c r="D3315" s="7" t="s">
        <v>2584</v>
      </c>
      <c r="E3315" s="7" t="str">
        <f>"向齐伟"</f>
        <v>向齐伟</v>
      </c>
      <c r="F3315" s="7" t="str">
        <f t="shared" ref="F3315:F3319" si="743">"女"</f>
        <v>女</v>
      </c>
      <c r="G3315" s="7" t="s">
        <v>2725</v>
      </c>
      <c r="H3315" s="8"/>
    </row>
    <row r="3316" ht="25" customHeight="1" spans="1:8">
      <c r="A3316" s="6">
        <v>3314</v>
      </c>
      <c r="B3316" s="7" t="str">
        <f t="shared" si="740"/>
        <v>302</v>
      </c>
      <c r="C3316" s="7" t="s">
        <v>2712</v>
      </c>
      <c r="D3316" s="7" t="s">
        <v>2584</v>
      </c>
      <c r="E3316" s="7" t="str">
        <f>"邓娟妹"</f>
        <v>邓娟妹</v>
      </c>
      <c r="F3316" s="7" t="str">
        <f t="shared" si="743"/>
        <v>女</v>
      </c>
      <c r="G3316" s="7" t="s">
        <v>2726</v>
      </c>
      <c r="H3316" s="8"/>
    </row>
    <row r="3317" ht="25" customHeight="1" spans="1:8">
      <c r="A3317" s="6">
        <v>3315</v>
      </c>
      <c r="B3317" s="7" t="str">
        <f t="shared" si="740"/>
        <v>302</v>
      </c>
      <c r="C3317" s="7" t="s">
        <v>2712</v>
      </c>
      <c r="D3317" s="7" t="s">
        <v>2584</v>
      </c>
      <c r="E3317" s="7" t="str">
        <f>"黄佳佳"</f>
        <v>黄佳佳</v>
      </c>
      <c r="F3317" s="7" t="str">
        <f t="shared" si="743"/>
        <v>女</v>
      </c>
      <c r="G3317" s="7" t="s">
        <v>2727</v>
      </c>
      <c r="H3317" s="8"/>
    </row>
    <row r="3318" ht="25" customHeight="1" spans="1:8">
      <c r="A3318" s="6">
        <v>3316</v>
      </c>
      <c r="B3318" s="7" t="str">
        <f t="shared" si="740"/>
        <v>302</v>
      </c>
      <c r="C3318" s="7" t="s">
        <v>2712</v>
      </c>
      <c r="D3318" s="7" t="s">
        <v>2584</v>
      </c>
      <c r="E3318" s="7" t="str">
        <f>"陈婷"</f>
        <v>陈婷</v>
      </c>
      <c r="F3318" s="7" t="str">
        <f t="shared" si="743"/>
        <v>女</v>
      </c>
      <c r="G3318" s="7" t="s">
        <v>2728</v>
      </c>
      <c r="H3318" s="8"/>
    </row>
    <row r="3319" ht="25" customHeight="1" spans="1:8">
      <c r="A3319" s="6">
        <v>3317</v>
      </c>
      <c r="B3319" s="7" t="str">
        <f t="shared" si="740"/>
        <v>302</v>
      </c>
      <c r="C3319" s="7" t="s">
        <v>2712</v>
      </c>
      <c r="D3319" s="7" t="s">
        <v>2584</v>
      </c>
      <c r="E3319" s="7" t="str">
        <f>"常开心"</f>
        <v>常开心</v>
      </c>
      <c r="F3319" s="7" t="str">
        <f t="shared" si="743"/>
        <v>女</v>
      </c>
      <c r="G3319" s="7" t="s">
        <v>2729</v>
      </c>
      <c r="H3319" s="8"/>
    </row>
    <row r="3320" ht="25" customHeight="1" spans="1:8">
      <c r="A3320" s="6">
        <v>3318</v>
      </c>
      <c r="B3320" s="7" t="str">
        <f t="shared" si="740"/>
        <v>302</v>
      </c>
      <c r="C3320" s="7" t="s">
        <v>2712</v>
      </c>
      <c r="D3320" s="7" t="s">
        <v>2584</v>
      </c>
      <c r="E3320" s="7" t="str">
        <f>"刘雪松"</f>
        <v>刘雪松</v>
      </c>
      <c r="F3320" s="7" t="str">
        <f t="shared" ref="F3320:F3323" si="744">"男"</f>
        <v>男</v>
      </c>
      <c r="G3320" s="7" t="s">
        <v>2730</v>
      </c>
      <c r="H3320" s="8"/>
    </row>
    <row r="3321" ht="25" customHeight="1" spans="1:8">
      <c r="A3321" s="6">
        <v>3319</v>
      </c>
      <c r="B3321" s="7" t="str">
        <f t="shared" si="740"/>
        <v>302</v>
      </c>
      <c r="C3321" s="7" t="s">
        <v>2712</v>
      </c>
      <c r="D3321" s="7" t="s">
        <v>2584</v>
      </c>
      <c r="E3321" s="7" t="str">
        <f>"曹刘彦"</f>
        <v>曹刘彦</v>
      </c>
      <c r="F3321" s="7" t="str">
        <f t="shared" si="744"/>
        <v>男</v>
      </c>
      <c r="G3321" s="7" t="s">
        <v>2731</v>
      </c>
      <c r="H3321" s="8"/>
    </row>
    <row r="3322" ht="25" customHeight="1" spans="1:8">
      <c r="A3322" s="6">
        <v>3320</v>
      </c>
      <c r="B3322" s="7" t="str">
        <f t="shared" si="740"/>
        <v>302</v>
      </c>
      <c r="C3322" s="7" t="s">
        <v>2712</v>
      </c>
      <c r="D3322" s="7" t="s">
        <v>2584</v>
      </c>
      <c r="E3322" s="7" t="str">
        <f>"龚会丽"</f>
        <v>龚会丽</v>
      </c>
      <c r="F3322" s="7" t="str">
        <f t="shared" ref="F3322:F3330" si="745">"女"</f>
        <v>女</v>
      </c>
      <c r="G3322" s="7" t="s">
        <v>2732</v>
      </c>
      <c r="H3322" s="8"/>
    </row>
    <row r="3323" ht="25" customHeight="1" spans="1:8">
      <c r="A3323" s="6">
        <v>3321</v>
      </c>
      <c r="B3323" s="7" t="str">
        <f t="shared" si="740"/>
        <v>302</v>
      </c>
      <c r="C3323" s="7" t="s">
        <v>2712</v>
      </c>
      <c r="D3323" s="7" t="s">
        <v>2584</v>
      </c>
      <c r="E3323" s="7" t="str">
        <f>"梁其博"</f>
        <v>梁其博</v>
      </c>
      <c r="F3323" s="7" t="str">
        <f t="shared" si="744"/>
        <v>男</v>
      </c>
      <c r="G3323" s="7" t="s">
        <v>2733</v>
      </c>
      <c r="H3323" s="8"/>
    </row>
    <row r="3324" ht="25" customHeight="1" spans="1:8">
      <c r="A3324" s="6">
        <v>3322</v>
      </c>
      <c r="B3324" s="7" t="str">
        <f t="shared" si="740"/>
        <v>302</v>
      </c>
      <c r="C3324" s="7" t="s">
        <v>2712</v>
      </c>
      <c r="D3324" s="7" t="s">
        <v>2584</v>
      </c>
      <c r="E3324" s="7" t="str">
        <f>"谢春明"</f>
        <v>谢春明</v>
      </c>
      <c r="F3324" s="7" t="str">
        <f t="shared" si="745"/>
        <v>女</v>
      </c>
      <c r="G3324" s="7" t="s">
        <v>2734</v>
      </c>
      <c r="H3324" s="8"/>
    </row>
    <row r="3325" ht="25" customHeight="1" spans="1:8">
      <c r="A3325" s="6">
        <v>3323</v>
      </c>
      <c r="B3325" s="7" t="str">
        <f t="shared" si="740"/>
        <v>302</v>
      </c>
      <c r="C3325" s="7" t="s">
        <v>2712</v>
      </c>
      <c r="D3325" s="7" t="s">
        <v>2584</v>
      </c>
      <c r="E3325" s="7" t="str">
        <f>"黄元琪"</f>
        <v>黄元琪</v>
      </c>
      <c r="F3325" s="7" t="str">
        <f>"男"</f>
        <v>男</v>
      </c>
      <c r="G3325" s="7" t="s">
        <v>2735</v>
      </c>
      <c r="H3325" s="8"/>
    </row>
    <row r="3326" ht="25" customHeight="1" spans="1:8">
      <c r="A3326" s="6">
        <v>3324</v>
      </c>
      <c r="B3326" s="7" t="str">
        <f t="shared" si="740"/>
        <v>302</v>
      </c>
      <c r="C3326" s="7" t="s">
        <v>2712</v>
      </c>
      <c r="D3326" s="7" t="s">
        <v>2584</v>
      </c>
      <c r="E3326" s="7" t="str">
        <f>"董伟净"</f>
        <v>董伟净</v>
      </c>
      <c r="F3326" s="7" t="str">
        <f t="shared" si="745"/>
        <v>女</v>
      </c>
      <c r="G3326" s="7" t="s">
        <v>2736</v>
      </c>
      <c r="H3326" s="8"/>
    </row>
    <row r="3327" ht="25" customHeight="1" spans="1:8">
      <c r="A3327" s="6">
        <v>3325</v>
      </c>
      <c r="B3327" s="7" t="str">
        <f t="shared" si="740"/>
        <v>302</v>
      </c>
      <c r="C3327" s="7" t="s">
        <v>2712</v>
      </c>
      <c r="D3327" s="7" t="s">
        <v>2584</v>
      </c>
      <c r="E3327" s="7" t="str">
        <f>"吴玺"</f>
        <v>吴玺</v>
      </c>
      <c r="F3327" s="7" t="str">
        <f t="shared" si="745"/>
        <v>女</v>
      </c>
      <c r="G3327" s="7" t="s">
        <v>2737</v>
      </c>
      <c r="H3327" s="8"/>
    </row>
    <row r="3328" ht="25" customHeight="1" spans="1:8">
      <c r="A3328" s="6">
        <v>3326</v>
      </c>
      <c r="B3328" s="7" t="str">
        <f t="shared" si="740"/>
        <v>302</v>
      </c>
      <c r="C3328" s="7" t="s">
        <v>2712</v>
      </c>
      <c r="D3328" s="7" t="s">
        <v>2584</v>
      </c>
      <c r="E3328" s="7" t="str">
        <f>"王超"</f>
        <v>王超</v>
      </c>
      <c r="F3328" s="7" t="str">
        <f t="shared" si="745"/>
        <v>女</v>
      </c>
      <c r="G3328" s="7" t="s">
        <v>671</v>
      </c>
      <c r="H3328" s="8"/>
    </row>
    <row r="3329" ht="25" customHeight="1" spans="1:8">
      <c r="A3329" s="6">
        <v>3327</v>
      </c>
      <c r="B3329" s="7" t="str">
        <f t="shared" si="740"/>
        <v>302</v>
      </c>
      <c r="C3329" s="7" t="s">
        <v>2712</v>
      </c>
      <c r="D3329" s="7" t="s">
        <v>2584</v>
      </c>
      <c r="E3329" s="7" t="str">
        <f>"刘碧云"</f>
        <v>刘碧云</v>
      </c>
      <c r="F3329" s="7" t="str">
        <f t="shared" si="745"/>
        <v>女</v>
      </c>
      <c r="G3329" s="7" t="s">
        <v>2738</v>
      </c>
      <c r="H3329" s="8"/>
    </row>
    <row r="3330" ht="25" customHeight="1" spans="1:8">
      <c r="A3330" s="6">
        <v>3328</v>
      </c>
      <c r="B3330" s="7" t="str">
        <f t="shared" si="740"/>
        <v>302</v>
      </c>
      <c r="C3330" s="7" t="s">
        <v>2712</v>
      </c>
      <c r="D3330" s="7" t="s">
        <v>2584</v>
      </c>
      <c r="E3330" s="7" t="str">
        <f>"冯秋梅"</f>
        <v>冯秋梅</v>
      </c>
      <c r="F3330" s="7" t="str">
        <f t="shared" si="745"/>
        <v>女</v>
      </c>
      <c r="G3330" s="7" t="s">
        <v>1241</v>
      </c>
      <c r="H3330" s="8"/>
    </row>
    <row r="3331" ht="25" customHeight="1" spans="1:8">
      <c r="A3331" s="6">
        <v>3329</v>
      </c>
      <c r="B3331" s="7" t="str">
        <f t="shared" si="740"/>
        <v>302</v>
      </c>
      <c r="C3331" s="7" t="s">
        <v>2712</v>
      </c>
      <c r="D3331" s="7" t="s">
        <v>2584</v>
      </c>
      <c r="E3331" s="7" t="str">
        <f>"段誉"</f>
        <v>段誉</v>
      </c>
      <c r="F3331" s="7" t="str">
        <f>"男"</f>
        <v>男</v>
      </c>
      <c r="G3331" s="7" t="s">
        <v>2739</v>
      </c>
      <c r="H3331" s="8"/>
    </row>
    <row r="3332" ht="25" customHeight="1" spans="1:8">
      <c r="A3332" s="6">
        <v>3330</v>
      </c>
      <c r="B3332" s="7" t="str">
        <f t="shared" si="740"/>
        <v>302</v>
      </c>
      <c r="C3332" s="7" t="s">
        <v>2712</v>
      </c>
      <c r="D3332" s="7" t="s">
        <v>2584</v>
      </c>
      <c r="E3332" s="7" t="str">
        <f>"陈集莹"</f>
        <v>陈集莹</v>
      </c>
      <c r="F3332" s="7" t="str">
        <f t="shared" ref="F3332:F3342" si="746">"女"</f>
        <v>女</v>
      </c>
      <c r="G3332" s="7" t="s">
        <v>2740</v>
      </c>
      <c r="H3332" s="8"/>
    </row>
    <row r="3333" ht="25" customHeight="1" spans="1:8">
      <c r="A3333" s="6">
        <v>3331</v>
      </c>
      <c r="B3333" s="7" t="str">
        <f t="shared" si="740"/>
        <v>302</v>
      </c>
      <c r="C3333" s="7" t="s">
        <v>2712</v>
      </c>
      <c r="D3333" s="7" t="s">
        <v>2584</v>
      </c>
      <c r="E3333" s="7" t="str">
        <f>"张旭"</f>
        <v>张旭</v>
      </c>
      <c r="F3333" s="7" t="str">
        <f t="shared" si="746"/>
        <v>女</v>
      </c>
      <c r="G3333" s="7" t="s">
        <v>2741</v>
      </c>
      <c r="H3333" s="8"/>
    </row>
    <row r="3334" ht="25" customHeight="1" spans="1:8">
      <c r="A3334" s="6">
        <v>3332</v>
      </c>
      <c r="B3334" s="7" t="str">
        <f t="shared" si="740"/>
        <v>302</v>
      </c>
      <c r="C3334" s="7" t="s">
        <v>2712</v>
      </c>
      <c r="D3334" s="7" t="s">
        <v>2584</v>
      </c>
      <c r="E3334" s="7" t="str">
        <f>"马祯蔓"</f>
        <v>马祯蔓</v>
      </c>
      <c r="F3334" s="7" t="str">
        <f t="shared" si="746"/>
        <v>女</v>
      </c>
      <c r="G3334" s="7" t="s">
        <v>2742</v>
      </c>
      <c r="H3334" s="8"/>
    </row>
    <row r="3335" ht="25" customHeight="1" spans="1:8">
      <c r="A3335" s="6">
        <v>3333</v>
      </c>
      <c r="B3335" s="7" t="str">
        <f t="shared" si="740"/>
        <v>302</v>
      </c>
      <c r="C3335" s="7" t="s">
        <v>2712</v>
      </c>
      <c r="D3335" s="7" t="s">
        <v>2584</v>
      </c>
      <c r="E3335" s="7" t="str">
        <f>"罗喜清"</f>
        <v>罗喜清</v>
      </c>
      <c r="F3335" s="7" t="str">
        <f t="shared" si="746"/>
        <v>女</v>
      </c>
      <c r="G3335" s="7" t="s">
        <v>2743</v>
      </c>
      <c r="H3335" s="8"/>
    </row>
    <row r="3336" ht="25" customHeight="1" spans="1:8">
      <c r="A3336" s="6">
        <v>3334</v>
      </c>
      <c r="B3336" s="7" t="str">
        <f t="shared" si="740"/>
        <v>302</v>
      </c>
      <c r="C3336" s="7" t="s">
        <v>2712</v>
      </c>
      <c r="D3336" s="7" t="s">
        <v>2584</v>
      </c>
      <c r="E3336" s="7" t="str">
        <f>"李正兰"</f>
        <v>李正兰</v>
      </c>
      <c r="F3336" s="7" t="str">
        <f t="shared" si="746"/>
        <v>女</v>
      </c>
      <c r="G3336" s="7" t="s">
        <v>2744</v>
      </c>
      <c r="H3336" s="8"/>
    </row>
    <row r="3337" ht="25" customHeight="1" spans="1:8">
      <c r="A3337" s="6">
        <v>3335</v>
      </c>
      <c r="B3337" s="7" t="str">
        <f t="shared" si="740"/>
        <v>302</v>
      </c>
      <c r="C3337" s="7" t="s">
        <v>2712</v>
      </c>
      <c r="D3337" s="7" t="s">
        <v>2584</v>
      </c>
      <c r="E3337" s="7" t="str">
        <f>"潘源杨"</f>
        <v>潘源杨</v>
      </c>
      <c r="F3337" s="7" t="str">
        <f t="shared" si="746"/>
        <v>女</v>
      </c>
      <c r="G3337" s="7" t="s">
        <v>2745</v>
      </c>
      <c r="H3337" s="8"/>
    </row>
    <row r="3338" ht="25" customHeight="1" spans="1:8">
      <c r="A3338" s="6">
        <v>3336</v>
      </c>
      <c r="B3338" s="7" t="str">
        <f t="shared" si="740"/>
        <v>302</v>
      </c>
      <c r="C3338" s="7" t="s">
        <v>2712</v>
      </c>
      <c r="D3338" s="7" t="s">
        <v>2584</v>
      </c>
      <c r="E3338" s="7" t="str">
        <f>"郇阿梅"</f>
        <v>郇阿梅</v>
      </c>
      <c r="F3338" s="7" t="str">
        <f t="shared" si="746"/>
        <v>女</v>
      </c>
      <c r="G3338" s="7" t="s">
        <v>2746</v>
      </c>
      <c r="H3338" s="8"/>
    </row>
    <row r="3339" ht="25" customHeight="1" spans="1:8">
      <c r="A3339" s="6">
        <v>3337</v>
      </c>
      <c r="B3339" s="7" t="str">
        <f t="shared" si="740"/>
        <v>302</v>
      </c>
      <c r="C3339" s="7" t="s">
        <v>2712</v>
      </c>
      <c r="D3339" s="7" t="s">
        <v>2584</v>
      </c>
      <c r="E3339" s="7" t="str">
        <f>"王婉婷"</f>
        <v>王婉婷</v>
      </c>
      <c r="F3339" s="7" t="str">
        <f t="shared" si="746"/>
        <v>女</v>
      </c>
      <c r="G3339" s="7" t="s">
        <v>335</v>
      </c>
      <c r="H3339" s="8"/>
    </row>
    <row r="3340" ht="25" customHeight="1" spans="1:8">
      <c r="A3340" s="6">
        <v>3338</v>
      </c>
      <c r="B3340" s="7" t="str">
        <f t="shared" si="740"/>
        <v>302</v>
      </c>
      <c r="C3340" s="7" t="s">
        <v>2712</v>
      </c>
      <c r="D3340" s="7" t="s">
        <v>2584</v>
      </c>
      <c r="E3340" s="7" t="str">
        <f>"商小曼"</f>
        <v>商小曼</v>
      </c>
      <c r="F3340" s="7" t="str">
        <f t="shared" si="746"/>
        <v>女</v>
      </c>
      <c r="G3340" s="7" t="s">
        <v>2747</v>
      </c>
      <c r="H3340" s="8"/>
    </row>
    <row r="3341" ht="25" customHeight="1" spans="1:8">
      <c r="A3341" s="6">
        <v>3339</v>
      </c>
      <c r="B3341" s="7" t="str">
        <f t="shared" si="740"/>
        <v>302</v>
      </c>
      <c r="C3341" s="7" t="s">
        <v>2712</v>
      </c>
      <c r="D3341" s="7" t="s">
        <v>2584</v>
      </c>
      <c r="E3341" s="7" t="str">
        <f>"符香艳"</f>
        <v>符香艳</v>
      </c>
      <c r="F3341" s="7" t="str">
        <f t="shared" si="746"/>
        <v>女</v>
      </c>
      <c r="G3341" s="7" t="s">
        <v>2748</v>
      </c>
      <c r="H3341" s="8"/>
    </row>
    <row r="3342" ht="25" customHeight="1" spans="1:8">
      <c r="A3342" s="6">
        <v>3340</v>
      </c>
      <c r="B3342" s="7" t="str">
        <f t="shared" si="740"/>
        <v>302</v>
      </c>
      <c r="C3342" s="7" t="s">
        <v>2712</v>
      </c>
      <c r="D3342" s="7" t="s">
        <v>2584</v>
      </c>
      <c r="E3342" s="7" t="str">
        <f>"苏俏俏"</f>
        <v>苏俏俏</v>
      </c>
      <c r="F3342" s="7" t="str">
        <f t="shared" si="746"/>
        <v>女</v>
      </c>
      <c r="G3342" s="7" t="s">
        <v>638</v>
      </c>
      <c r="H3342" s="8"/>
    </row>
    <row r="3343" ht="25" customHeight="1" spans="1:8">
      <c r="A3343" s="6">
        <v>3341</v>
      </c>
      <c r="B3343" s="7" t="str">
        <f t="shared" si="740"/>
        <v>302</v>
      </c>
      <c r="C3343" s="7" t="s">
        <v>2712</v>
      </c>
      <c r="D3343" s="7" t="s">
        <v>2584</v>
      </c>
      <c r="E3343" s="7" t="str">
        <f>"刘定坤"</f>
        <v>刘定坤</v>
      </c>
      <c r="F3343" s="7" t="str">
        <f>"男"</f>
        <v>男</v>
      </c>
      <c r="G3343" s="7" t="s">
        <v>2749</v>
      </c>
      <c r="H3343" s="8"/>
    </row>
    <row r="3344" ht="25" customHeight="1" spans="1:8">
      <c r="A3344" s="6">
        <v>3342</v>
      </c>
      <c r="B3344" s="7" t="str">
        <f t="shared" si="740"/>
        <v>302</v>
      </c>
      <c r="C3344" s="7" t="s">
        <v>2712</v>
      </c>
      <c r="D3344" s="7" t="s">
        <v>2584</v>
      </c>
      <c r="E3344" s="7" t="str">
        <f>"钟韵"</f>
        <v>钟韵</v>
      </c>
      <c r="F3344" s="7" t="str">
        <f t="shared" ref="F3344:F3353" si="747">"女"</f>
        <v>女</v>
      </c>
      <c r="G3344" s="7" t="s">
        <v>2750</v>
      </c>
      <c r="H3344" s="8"/>
    </row>
    <row r="3345" ht="25" customHeight="1" spans="1:8">
      <c r="A3345" s="6">
        <v>3343</v>
      </c>
      <c r="B3345" s="7" t="str">
        <f t="shared" si="740"/>
        <v>302</v>
      </c>
      <c r="C3345" s="7" t="s">
        <v>2712</v>
      </c>
      <c r="D3345" s="7" t="s">
        <v>2584</v>
      </c>
      <c r="E3345" s="7" t="str">
        <f>"陆昕冉"</f>
        <v>陆昕冉</v>
      </c>
      <c r="F3345" s="7" t="str">
        <f t="shared" si="747"/>
        <v>女</v>
      </c>
      <c r="G3345" s="7" t="s">
        <v>2751</v>
      </c>
      <c r="H3345" s="8"/>
    </row>
    <row r="3346" ht="25" customHeight="1" spans="1:8">
      <c r="A3346" s="6">
        <v>3344</v>
      </c>
      <c r="B3346" s="7" t="str">
        <f t="shared" si="740"/>
        <v>302</v>
      </c>
      <c r="C3346" s="7" t="s">
        <v>2712</v>
      </c>
      <c r="D3346" s="7" t="s">
        <v>2584</v>
      </c>
      <c r="E3346" s="7" t="str">
        <f>"王靖然"</f>
        <v>王靖然</v>
      </c>
      <c r="F3346" s="7" t="str">
        <f t="shared" si="747"/>
        <v>女</v>
      </c>
      <c r="G3346" s="7" t="s">
        <v>2752</v>
      </c>
      <c r="H3346" s="8"/>
    </row>
    <row r="3347" ht="25" customHeight="1" spans="1:8">
      <c r="A3347" s="6">
        <v>3345</v>
      </c>
      <c r="B3347" s="7" t="str">
        <f t="shared" si="740"/>
        <v>302</v>
      </c>
      <c r="C3347" s="7" t="s">
        <v>2712</v>
      </c>
      <c r="D3347" s="7" t="s">
        <v>2584</v>
      </c>
      <c r="E3347" s="7" t="str">
        <f>"黄斐然"</f>
        <v>黄斐然</v>
      </c>
      <c r="F3347" s="7" t="str">
        <f t="shared" si="747"/>
        <v>女</v>
      </c>
      <c r="G3347" s="7" t="s">
        <v>2753</v>
      </c>
      <c r="H3347" s="8"/>
    </row>
    <row r="3348" ht="25" customHeight="1" spans="1:8">
      <c r="A3348" s="6">
        <v>3346</v>
      </c>
      <c r="B3348" s="7" t="str">
        <f t="shared" si="740"/>
        <v>302</v>
      </c>
      <c r="C3348" s="7" t="s">
        <v>2712</v>
      </c>
      <c r="D3348" s="7" t="s">
        <v>2584</v>
      </c>
      <c r="E3348" s="7" t="str">
        <f>"郭思彤"</f>
        <v>郭思彤</v>
      </c>
      <c r="F3348" s="7" t="str">
        <f t="shared" si="747"/>
        <v>女</v>
      </c>
      <c r="G3348" s="7" t="s">
        <v>2754</v>
      </c>
      <c r="H3348" s="8"/>
    </row>
    <row r="3349" ht="25" customHeight="1" spans="1:8">
      <c r="A3349" s="6">
        <v>3347</v>
      </c>
      <c r="B3349" s="7" t="str">
        <f t="shared" si="740"/>
        <v>302</v>
      </c>
      <c r="C3349" s="7" t="s">
        <v>2712</v>
      </c>
      <c r="D3349" s="7" t="s">
        <v>2584</v>
      </c>
      <c r="E3349" s="7" t="str">
        <f>"丁嘉明"</f>
        <v>丁嘉明</v>
      </c>
      <c r="F3349" s="7" t="str">
        <f t="shared" si="747"/>
        <v>女</v>
      </c>
      <c r="G3349" s="7" t="s">
        <v>2755</v>
      </c>
      <c r="H3349" s="8"/>
    </row>
    <row r="3350" ht="25" customHeight="1" spans="1:8">
      <c r="A3350" s="6">
        <v>3348</v>
      </c>
      <c r="B3350" s="7" t="str">
        <f t="shared" si="740"/>
        <v>302</v>
      </c>
      <c r="C3350" s="7" t="s">
        <v>2712</v>
      </c>
      <c r="D3350" s="7" t="s">
        <v>2584</v>
      </c>
      <c r="E3350" s="7" t="str">
        <f>"冯春影"</f>
        <v>冯春影</v>
      </c>
      <c r="F3350" s="7" t="str">
        <f t="shared" si="747"/>
        <v>女</v>
      </c>
      <c r="G3350" s="7" t="s">
        <v>2756</v>
      </c>
      <c r="H3350" s="8"/>
    </row>
    <row r="3351" ht="25" customHeight="1" spans="1:8">
      <c r="A3351" s="6">
        <v>3349</v>
      </c>
      <c r="B3351" s="7" t="str">
        <f t="shared" si="740"/>
        <v>302</v>
      </c>
      <c r="C3351" s="7" t="s">
        <v>2712</v>
      </c>
      <c r="D3351" s="7" t="s">
        <v>2584</v>
      </c>
      <c r="E3351" s="7" t="str">
        <f>"薛婆金"</f>
        <v>薛婆金</v>
      </c>
      <c r="F3351" s="7" t="str">
        <f t="shared" si="747"/>
        <v>女</v>
      </c>
      <c r="G3351" s="7" t="s">
        <v>2757</v>
      </c>
      <c r="H3351" s="8"/>
    </row>
    <row r="3352" ht="25" customHeight="1" spans="1:8">
      <c r="A3352" s="6">
        <v>3350</v>
      </c>
      <c r="B3352" s="7" t="str">
        <f t="shared" si="740"/>
        <v>302</v>
      </c>
      <c r="C3352" s="7" t="s">
        <v>2712</v>
      </c>
      <c r="D3352" s="7" t="s">
        <v>2584</v>
      </c>
      <c r="E3352" s="7" t="str">
        <f>"付博雯"</f>
        <v>付博雯</v>
      </c>
      <c r="F3352" s="7" t="str">
        <f t="shared" si="747"/>
        <v>女</v>
      </c>
      <c r="G3352" s="7" t="s">
        <v>2758</v>
      </c>
      <c r="H3352" s="8"/>
    </row>
    <row r="3353" ht="25" customHeight="1" spans="1:8">
      <c r="A3353" s="6">
        <v>3351</v>
      </c>
      <c r="B3353" s="7" t="str">
        <f t="shared" si="740"/>
        <v>302</v>
      </c>
      <c r="C3353" s="7" t="s">
        <v>2712</v>
      </c>
      <c r="D3353" s="7" t="s">
        <v>2584</v>
      </c>
      <c r="E3353" s="7" t="str">
        <f>"莫君薇"</f>
        <v>莫君薇</v>
      </c>
      <c r="F3353" s="7" t="str">
        <f t="shared" si="747"/>
        <v>女</v>
      </c>
      <c r="G3353" s="7" t="s">
        <v>2759</v>
      </c>
      <c r="H3353" s="8"/>
    </row>
    <row r="3354" ht="25" customHeight="1" spans="1:8">
      <c r="A3354" s="6">
        <v>3352</v>
      </c>
      <c r="B3354" s="7" t="str">
        <f t="shared" si="740"/>
        <v>302</v>
      </c>
      <c r="C3354" s="7" t="s">
        <v>2712</v>
      </c>
      <c r="D3354" s="7" t="s">
        <v>2584</v>
      </c>
      <c r="E3354" s="7" t="str">
        <f>"潘长江"</f>
        <v>潘长江</v>
      </c>
      <c r="F3354" s="7" t="str">
        <f t="shared" ref="F3354:F3358" si="748">"男"</f>
        <v>男</v>
      </c>
      <c r="G3354" s="7" t="s">
        <v>2760</v>
      </c>
      <c r="H3354" s="8"/>
    </row>
    <row r="3355" ht="25" customHeight="1" spans="1:8">
      <c r="A3355" s="6">
        <v>3353</v>
      </c>
      <c r="B3355" s="7" t="str">
        <f t="shared" si="740"/>
        <v>302</v>
      </c>
      <c r="C3355" s="7" t="s">
        <v>2712</v>
      </c>
      <c r="D3355" s="7" t="s">
        <v>2584</v>
      </c>
      <c r="E3355" s="7" t="str">
        <f>"黄辉"</f>
        <v>黄辉</v>
      </c>
      <c r="F3355" s="7" t="str">
        <f t="shared" si="748"/>
        <v>男</v>
      </c>
      <c r="G3355" s="7" t="s">
        <v>2761</v>
      </c>
      <c r="H3355" s="8"/>
    </row>
    <row r="3356" ht="25" customHeight="1" spans="1:8">
      <c r="A3356" s="6">
        <v>3354</v>
      </c>
      <c r="B3356" s="7" t="str">
        <f t="shared" si="740"/>
        <v>302</v>
      </c>
      <c r="C3356" s="7" t="s">
        <v>2712</v>
      </c>
      <c r="D3356" s="7" t="s">
        <v>2584</v>
      </c>
      <c r="E3356" s="7" t="str">
        <f>"翁欣竹"</f>
        <v>翁欣竹</v>
      </c>
      <c r="F3356" s="7" t="str">
        <f>"女"</f>
        <v>女</v>
      </c>
      <c r="G3356" s="7" t="s">
        <v>2762</v>
      </c>
      <c r="H3356" s="8"/>
    </row>
    <row r="3357" ht="25" customHeight="1" spans="1:8">
      <c r="A3357" s="6">
        <v>3355</v>
      </c>
      <c r="B3357" s="7" t="str">
        <f t="shared" si="740"/>
        <v>302</v>
      </c>
      <c r="C3357" s="7" t="s">
        <v>2712</v>
      </c>
      <c r="D3357" s="7" t="s">
        <v>2584</v>
      </c>
      <c r="E3357" s="7" t="str">
        <f>"高小卓"</f>
        <v>高小卓</v>
      </c>
      <c r="F3357" s="7" t="str">
        <f t="shared" si="748"/>
        <v>男</v>
      </c>
      <c r="G3357" s="7" t="s">
        <v>2763</v>
      </c>
      <c r="H3357" s="8"/>
    </row>
    <row r="3358" ht="25" customHeight="1" spans="1:8">
      <c r="A3358" s="6">
        <v>3356</v>
      </c>
      <c r="B3358" s="7" t="str">
        <f t="shared" si="740"/>
        <v>302</v>
      </c>
      <c r="C3358" s="7" t="s">
        <v>2712</v>
      </c>
      <c r="D3358" s="7" t="s">
        <v>2584</v>
      </c>
      <c r="E3358" s="7" t="str">
        <f>"蒙锴"</f>
        <v>蒙锴</v>
      </c>
      <c r="F3358" s="7" t="str">
        <f t="shared" si="748"/>
        <v>男</v>
      </c>
      <c r="G3358" s="7" t="s">
        <v>2764</v>
      </c>
      <c r="H3358" s="8"/>
    </row>
    <row r="3359" ht="25" customHeight="1" spans="1:8">
      <c r="A3359" s="6">
        <v>3357</v>
      </c>
      <c r="B3359" s="7" t="str">
        <f t="shared" si="740"/>
        <v>302</v>
      </c>
      <c r="C3359" s="7" t="s">
        <v>2712</v>
      </c>
      <c r="D3359" s="7" t="s">
        <v>2584</v>
      </c>
      <c r="E3359" s="7" t="str">
        <f>"王润琦"</f>
        <v>王润琦</v>
      </c>
      <c r="F3359" s="7" t="str">
        <f t="shared" ref="F3359:F3371" si="749">"女"</f>
        <v>女</v>
      </c>
      <c r="G3359" s="7" t="s">
        <v>2765</v>
      </c>
      <c r="H3359" s="8"/>
    </row>
    <row r="3360" ht="25" customHeight="1" spans="1:8">
      <c r="A3360" s="6">
        <v>3358</v>
      </c>
      <c r="B3360" s="7" t="str">
        <f t="shared" si="740"/>
        <v>302</v>
      </c>
      <c r="C3360" s="7" t="s">
        <v>2712</v>
      </c>
      <c r="D3360" s="7" t="s">
        <v>2584</v>
      </c>
      <c r="E3360" s="7" t="str">
        <f>"岑选诚"</f>
        <v>岑选诚</v>
      </c>
      <c r="F3360" s="7" t="str">
        <f t="shared" ref="F3360:F3363" si="750">"男"</f>
        <v>男</v>
      </c>
      <c r="G3360" s="7" t="s">
        <v>948</v>
      </c>
      <c r="H3360" s="8"/>
    </row>
    <row r="3361" ht="25" customHeight="1" spans="1:8">
      <c r="A3361" s="6">
        <v>3359</v>
      </c>
      <c r="B3361" s="7" t="str">
        <f t="shared" si="740"/>
        <v>302</v>
      </c>
      <c r="C3361" s="7" t="s">
        <v>2712</v>
      </c>
      <c r="D3361" s="7" t="s">
        <v>2584</v>
      </c>
      <c r="E3361" s="7" t="str">
        <f>"谢运强"</f>
        <v>谢运强</v>
      </c>
      <c r="F3361" s="7" t="str">
        <f t="shared" si="750"/>
        <v>男</v>
      </c>
      <c r="G3361" s="7" t="s">
        <v>2766</v>
      </c>
      <c r="H3361" s="8"/>
    </row>
    <row r="3362" ht="25" customHeight="1" spans="1:8">
      <c r="A3362" s="6">
        <v>3360</v>
      </c>
      <c r="B3362" s="7" t="str">
        <f t="shared" si="740"/>
        <v>302</v>
      </c>
      <c r="C3362" s="7" t="s">
        <v>2712</v>
      </c>
      <c r="D3362" s="7" t="s">
        <v>2584</v>
      </c>
      <c r="E3362" s="7" t="str">
        <f>"廖玟文"</f>
        <v>廖玟文</v>
      </c>
      <c r="F3362" s="7" t="str">
        <f t="shared" si="749"/>
        <v>女</v>
      </c>
      <c r="G3362" s="7" t="s">
        <v>2767</v>
      </c>
      <c r="H3362" s="8"/>
    </row>
    <row r="3363" ht="25" customHeight="1" spans="1:8">
      <c r="A3363" s="6">
        <v>3361</v>
      </c>
      <c r="B3363" s="7" t="str">
        <f t="shared" si="740"/>
        <v>302</v>
      </c>
      <c r="C3363" s="7" t="s">
        <v>2712</v>
      </c>
      <c r="D3363" s="7" t="s">
        <v>2584</v>
      </c>
      <c r="E3363" s="7" t="str">
        <f>"张进"</f>
        <v>张进</v>
      </c>
      <c r="F3363" s="7" t="str">
        <f t="shared" si="750"/>
        <v>男</v>
      </c>
      <c r="G3363" s="7" t="s">
        <v>2768</v>
      </c>
      <c r="H3363" s="8"/>
    </row>
    <row r="3364" ht="25" customHeight="1" spans="1:8">
      <c r="A3364" s="6">
        <v>3362</v>
      </c>
      <c r="B3364" s="7" t="str">
        <f t="shared" si="740"/>
        <v>302</v>
      </c>
      <c r="C3364" s="7" t="s">
        <v>2712</v>
      </c>
      <c r="D3364" s="7" t="s">
        <v>2584</v>
      </c>
      <c r="E3364" s="7" t="str">
        <f>"陈杏"</f>
        <v>陈杏</v>
      </c>
      <c r="F3364" s="7" t="str">
        <f t="shared" si="749"/>
        <v>女</v>
      </c>
      <c r="G3364" s="7" t="s">
        <v>2769</v>
      </c>
      <c r="H3364" s="8"/>
    </row>
    <row r="3365" ht="25" customHeight="1" spans="1:8">
      <c r="A3365" s="6">
        <v>3363</v>
      </c>
      <c r="B3365" s="7" t="str">
        <f t="shared" si="740"/>
        <v>302</v>
      </c>
      <c r="C3365" s="7" t="s">
        <v>2712</v>
      </c>
      <c r="D3365" s="7" t="s">
        <v>2584</v>
      </c>
      <c r="E3365" s="7" t="str">
        <f>"刘争慧"</f>
        <v>刘争慧</v>
      </c>
      <c r="F3365" s="7" t="str">
        <f t="shared" si="749"/>
        <v>女</v>
      </c>
      <c r="G3365" s="7" t="s">
        <v>2770</v>
      </c>
      <c r="H3365" s="8"/>
    </row>
    <row r="3366" ht="25" customHeight="1" spans="1:8">
      <c r="A3366" s="6">
        <v>3364</v>
      </c>
      <c r="B3366" s="7" t="str">
        <f t="shared" ref="B3366:B3369" si="751">"302"</f>
        <v>302</v>
      </c>
      <c r="C3366" s="7" t="s">
        <v>2712</v>
      </c>
      <c r="D3366" s="7" t="s">
        <v>2584</v>
      </c>
      <c r="E3366" s="7" t="str">
        <f>"阚琍滢"</f>
        <v>阚琍滢</v>
      </c>
      <c r="F3366" s="7" t="str">
        <f t="shared" si="749"/>
        <v>女</v>
      </c>
      <c r="G3366" s="7" t="s">
        <v>2771</v>
      </c>
      <c r="H3366" s="8"/>
    </row>
    <row r="3367" ht="25" customHeight="1" spans="1:8">
      <c r="A3367" s="6">
        <v>3365</v>
      </c>
      <c r="B3367" s="7" t="str">
        <f t="shared" si="751"/>
        <v>302</v>
      </c>
      <c r="C3367" s="7" t="s">
        <v>2712</v>
      </c>
      <c r="D3367" s="7" t="s">
        <v>2584</v>
      </c>
      <c r="E3367" s="7" t="str">
        <f>"符莹"</f>
        <v>符莹</v>
      </c>
      <c r="F3367" s="7" t="str">
        <f t="shared" si="749"/>
        <v>女</v>
      </c>
      <c r="G3367" s="7" t="s">
        <v>2772</v>
      </c>
      <c r="H3367" s="8"/>
    </row>
    <row r="3368" ht="25" customHeight="1" spans="1:8">
      <c r="A3368" s="6">
        <v>3366</v>
      </c>
      <c r="B3368" s="7" t="str">
        <f t="shared" si="751"/>
        <v>302</v>
      </c>
      <c r="C3368" s="7" t="s">
        <v>2712</v>
      </c>
      <c r="D3368" s="7" t="s">
        <v>2584</v>
      </c>
      <c r="E3368" s="7" t="str">
        <f>"赵宇"</f>
        <v>赵宇</v>
      </c>
      <c r="F3368" s="7" t="str">
        <f t="shared" si="749"/>
        <v>女</v>
      </c>
      <c r="G3368" s="7" t="s">
        <v>2773</v>
      </c>
      <c r="H3368" s="8"/>
    </row>
    <row r="3369" ht="25" customHeight="1" spans="1:8">
      <c r="A3369" s="6">
        <v>3367</v>
      </c>
      <c r="B3369" s="7" t="str">
        <f t="shared" si="751"/>
        <v>302</v>
      </c>
      <c r="C3369" s="7" t="s">
        <v>2712</v>
      </c>
      <c r="D3369" s="7" t="s">
        <v>2584</v>
      </c>
      <c r="E3369" s="7" t="str">
        <f>"薄佳欣"</f>
        <v>薄佳欣</v>
      </c>
      <c r="F3369" s="7" t="str">
        <f t="shared" si="749"/>
        <v>女</v>
      </c>
      <c r="G3369" s="7" t="s">
        <v>2774</v>
      </c>
      <c r="H3369" s="8"/>
    </row>
    <row r="3370" ht="25" customHeight="1" spans="1:8">
      <c r="A3370" s="6">
        <v>3368</v>
      </c>
      <c r="B3370" s="7" t="str">
        <f t="shared" ref="B3370:B3433" si="752">"303"</f>
        <v>303</v>
      </c>
      <c r="C3370" s="7" t="s">
        <v>2775</v>
      </c>
      <c r="D3370" s="7" t="s">
        <v>2584</v>
      </c>
      <c r="E3370" s="7" t="str">
        <f>"袁人熙"</f>
        <v>袁人熙</v>
      </c>
      <c r="F3370" s="7" t="str">
        <f t="shared" si="749"/>
        <v>女</v>
      </c>
      <c r="G3370" s="7" t="s">
        <v>2776</v>
      </c>
      <c r="H3370" s="8"/>
    </row>
    <row r="3371" ht="25" customHeight="1" spans="1:8">
      <c r="A3371" s="6">
        <v>3369</v>
      </c>
      <c r="B3371" s="7" t="str">
        <f t="shared" si="752"/>
        <v>303</v>
      </c>
      <c r="C3371" s="7" t="s">
        <v>2775</v>
      </c>
      <c r="D3371" s="7" t="s">
        <v>2584</v>
      </c>
      <c r="E3371" s="7" t="str">
        <f>"黄振"</f>
        <v>黄振</v>
      </c>
      <c r="F3371" s="7" t="str">
        <f t="shared" si="749"/>
        <v>女</v>
      </c>
      <c r="G3371" s="7" t="s">
        <v>2777</v>
      </c>
      <c r="H3371" s="8"/>
    </row>
    <row r="3372" ht="25" customHeight="1" spans="1:8">
      <c r="A3372" s="6">
        <v>3370</v>
      </c>
      <c r="B3372" s="7" t="str">
        <f t="shared" si="752"/>
        <v>303</v>
      </c>
      <c r="C3372" s="7" t="s">
        <v>2775</v>
      </c>
      <c r="D3372" s="7" t="s">
        <v>2584</v>
      </c>
      <c r="E3372" s="7" t="str">
        <f>"王和驰"</f>
        <v>王和驰</v>
      </c>
      <c r="F3372" s="7" t="str">
        <f t="shared" ref="F3372:F3376" si="753">"男"</f>
        <v>男</v>
      </c>
      <c r="G3372" s="7" t="s">
        <v>1282</v>
      </c>
      <c r="H3372" s="8"/>
    </row>
    <row r="3373" ht="25" customHeight="1" spans="1:8">
      <c r="A3373" s="6">
        <v>3371</v>
      </c>
      <c r="B3373" s="7" t="str">
        <f t="shared" si="752"/>
        <v>303</v>
      </c>
      <c r="C3373" s="7" t="s">
        <v>2775</v>
      </c>
      <c r="D3373" s="7" t="s">
        <v>2584</v>
      </c>
      <c r="E3373" s="7" t="str">
        <f>"史阳"</f>
        <v>史阳</v>
      </c>
      <c r="F3373" s="7" t="str">
        <f t="shared" si="753"/>
        <v>男</v>
      </c>
      <c r="G3373" s="7" t="s">
        <v>2778</v>
      </c>
      <c r="H3373" s="8"/>
    </row>
    <row r="3374" ht="25" customHeight="1" spans="1:8">
      <c r="A3374" s="6">
        <v>3372</v>
      </c>
      <c r="B3374" s="7" t="str">
        <f t="shared" si="752"/>
        <v>303</v>
      </c>
      <c r="C3374" s="7" t="s">
        <v>2775</v>
      </c>
      <c r="D3374" s="7" t="s">
        <v>2584</v>
      </c>
      <c r="E3374" s="7" t="str">
        <f>"王安妮"</f>
        <v>王安妮</v>
      </c>
      <c r="F3374" s="7" t="str">
        <f t="shared" ref="F3374:F3377" si="754">"女"</f>
        <v>女</v>
      </c>
      <c r="G3374" s="7" t="s">
        <v>2779</v>
      </c>
      <c r="H3374" s="8"/>
    </row>
    <row r="3375" ht="25" customHeight="1" spans="1:8">
      <c r="A3375" s="6">
        <v>3373</v>
      </c>
      <c r="B3375" s="7" t="str">
        <f t="shared" si="752"/>
        <v>303</v>
      </c>
      <c r="C3375" s="7" t="s">
        <v>2775</v>
      </c>
      <c r="D3375" s="7" t="s">
        <v>2584</v>
      </c>
      <c r="E3375" s="7" t="str">
        <f>"苏虹"</f>
        <v>苏虹</v>
      </c>
      <c r="F3375" s="7" t="str">
        <f t="shared" si="754"/>
        <v>女</v>
      </c>
      <c r="G3375" s="7" t="s">
        <v>2780</v>
      </c>
      <c r="H3375" s="8"/>
    </row>
    <row r="3376" ht="25" customHeight="1" spans="1:8">
      <c r="A3376" s="6">
        <v>3374</v>
      </c>
      <c r="B3376" s="7" t="str">
        <f t="shared" si="752"/>
        <v>303</v>
      </c>
      <c r="C3376" s="7" t="s">
        <v>2775</v>
      </c>
      <c r="D3376" s="7" t="s">
        <v>2584</v>
      </c>
      <c r="E3376" s="7" t="str">
        <f>"张恩豪"</f>
        <v>张恩豪</v>
      </c>
      <c r="F3376" s="7" t="str">
        <f t="shared" si="753"/>
        <v>男</v>
      </c>
      <c r="G3376" s="7" t="s">
        <v>2781</v>
      </c>
      <c r="H3376" s="8"/>
    </row>
    <row r="3377" ht="25" customHeight="1" spans="1:8">
      <c r="A3377" s="6">
        <v>3375</v>
      </c>
      <c r="B3377" s="7" t="str">
        <f t="shared" si="752"/>
        <v>303</v>
      </c>
      <c r="C3377" s="7" t="s">
        <v>2775</v>
      </c>
      <c r="D3377" s="7" t="s">
        <v>2584</v>
      </c>
      <c r="E3377" s="7" t="str">
        <f>"伍维"</f>
        <v>伍维</v>
      </c>
      <c r="F3377" s="7" t="str">
        <f t="shared" si="754"/>
        <v>女</v>
      </c>
      <c r="G3377" s="7" t="s">
        <v>2782</v>
      </c>
      <c r="H3377" s="8"/>
    </row>
    <row r="3378" ht="25" customHeight="1" spans="1:8">
      <c r="A3378" s="6">
        <v>3376</v>
      </c>
      <c r="B3378" s="7" t="str">
        <f t="shared" si="752"/>
        <v>303</v>
      </c>
      <c r="C3378" s="7" t="s">
        <v>2775</v>
      </c>
      <c r="D3378" s="7" t="s">
        <v>2584</v>
      </c>
      <c r="E3378" s="7" t="str">
        <f>"封良玉"</f>
        <v>封良玉</v>
      </c>
      <c r="F3378" s="7" t="str">
        <f>"男"</f>
        <v>男</v>
      </c>
      <c r="G3378" s="7" t="s">
        <v>2783</v>
      </c>
      <c r="H3378" s="8"/>
    </row>
    <row r="3379" ht="25" customHeight="1" spans="1:8">
      <c r="A3379" s="6">
        <v>3377</v>
      </c>
      <c r="B3379" s="7" t="str">
        <f t="shared" si="752"/>
        <v>303</v>
      </c>
      <c r="C3379" s="7" t="s">
        <v>2775</v>
      </c>
      <c r="D3379" s="7" t="s">
        <v>2584</v>
      </c>
      <c r="E3379" s="7" t="str">
        <f>"王佳佳"</f>
        <v>王佳佳</v>
      </c>
      <c r="F3379" s="7" t="str">
        <f t="shared" ref="F3379:F3394" si="755">"女"</f>
        <v>女</v>
      </c>
      <c r="G3379" s="7" t="s">
        <v>2784</v>
      </c>
      <c r="H3379" s="8"/>
    </row>
    <row r="3380" ht="25" customHeight="1" spans="1:8">
      <c r="A3380" s="6">
        <v>3378</v>
      </c>
      <c r="B3380" s="7" t="str">
        <f t="shared" si="752"/>
        <v>303</v>
      </c>
      <c r="C3380" s="7" t="s">
        <v>2775</v>
      </c>
      <c r="D3380" s="7" t="s">
        <v>2584</v>
      </c>
      <c r="E3380" s="7" t="str">
        <f>"吴俨芬"</f>
        <v>吴俨芬</v>
      </c>
      <c r="F3380" s="7" t="str">
        <f t="shared" si="755"/>
        <v>女</v>
      </c>
      <c r="G3380" s="7" t="s">
        <v>2785</v>
      </c>
      <c r="H3380" s="8"/>
    </row>
    <row r="3381" ht="25" customHeight="1" spans="1:8">
      <c r="A3381" s="6">
        <v>3379</v>
      </c>
      <c r="B3381" s="7" t="str">
        <f t="shared" si="752"/>
        <v>303</v>
      </c>
      <c r="C3381" s="7" t="s">
        <v>2775</v>
      </c>
      <c r="D3381" s="7" t="s">
        <v>2584</v>
      </c>
      <c r="E3381" s="7" t="str">
        <f>"赵树英"</f>
        <v>赵树英</v>
      </c>
      <c r="F3381" s="7" t="str">
        <f t="shared" si="755"/>
        <v>女</v>
      </c>
      <c r="G3381" s="7" t="s">
        <v>2786</v>
      </c>
      <c r="H3381" s="8"/>
    </row>
    <row r="3382" ht="25" customHeight="1" spans="1:8">
      <c r="A3382" s="6">
        <v>3380</v>
      </c>
      <c r="B3382" s="7" t="str">
        <f t="shared" si="752"/>
        <v>303</v>
      </c>
      <c r="C3382" s="7" t="s">
        <v>2775</v>
      </c>
      <c r="D3382" s="7" t="s">
        <v>2584</v>
      </c>
      <c r="E3382" s="7" t="str">
        <f>"李丽"</f>
        <v>李丽</v>
      </c>
      <c r="F3382" s="7" t="str">
        <f t="shared" si="755"/>
        <v>女</v>
      </c>
      <c r="G3382" s="7" t="s">
        <v>911</v>
      </c>
      <c r="H3382" s="8"/>
    </row>
    <row r="3383" ht="25" customHeight="1" spans="1:8">
      <c r="A3383" s="6">
        <v>3381</v>
      </c>
      <c r="B3383" s="7" t="str">
        <f t="shared" si="752"/>
        <v>303</v>
      </c>
      <c r="C3383" s="7" t="s">
        <v>2775</v>
      </c>
      <c r="D3383" s="7" t="s">
        <v>2584</v>
      </c>
      <c r="E3383" s="7" t="str">
        <f>"李柔柔"</f>
        <v>李柔柔</v>
      </c>
      <c r="F3383" s="7" t="str">
        <f t="shared" si="755"/>
        <v>女</v>
      </c>
      <c r="G3383" s="7" t="s">
        <v>2787</v>
      </c>
      <c r="H3383" s="8"/>
    </row>
    <row r="3384" ht="25" customHeight="1" spans="1:8">
      <c r="A3384" s="6">
        <v>3382</v>
      </c>
      <c r="B3384" s="7" t="str">
        <f t="shared" si="752"/>
        <v>303</v>
      </c>
      <c r="C3384" s="7" t="s">
        <v>2775</v>
      </c>
      <c r="D3384" s="7" t="s">
        <v>2584</v>
      </c>
      <c r="E3384" s="7" t="str">
        <f>"高雅"</f>
        <v>高雅</v>
      </c>
      <c r="F3384" s="7" t="str">
        <f t="shared" si="755"/>
        <v>女</v>
      </c>
      <c r="G3384" s="7" t="s">
        <v>2788</v>
      </c>
      <c r="H3384" s="8"/>
    </row>
    <row r="3385" ht="25" customHeight="1" spans="1:8">
      <c r="A3385" s="6">
        <v>3383</v>
      </c>
      <c r="B3385" s="7" t="str">
        <f t="shared" si="752"/>
        <v>303</v>
      </c>
      <c r="C3385" s="7" t="s">
        <v>2775</v>
      </c>
      <c r="D3385" s="7" t="s">
        <v>2584</v>
      </c>
      <c r="E3385" s="7" t="str">
        <f>"李丹"</f>
        <v>李丹</v>
      </c>
      <c r="F3385" s="7" t="str">
        <f t="shared" si="755"/>
        <v>女</v>
      </c>
      <c r="G3385" s="7" t="s">
        <v>2789</v>
      </c>
      <c r="H3385" s="8"/>
    </row>
    <row r="3386" ht="25" customHeight="1" spans="1:8">
      <c r="A3386" s="6">
        <v>3384</v>
      </c>
      <c r="B3386" s="7" t="str">
        <f t="shared" si="752"/>
        <v>303</v>
      </c>
      <c r="C3386" s="7" t="s">
        <v>2775</v>
      </c>
      <c r="D3386" s="7" t="s">
        <v>2584</v>
      </c>
      <c r="E3386" s="7" t="str">
        <f>"杨卓荣"</f>
        <v>杨卓荣</v>
      </c>
      <c r="F3386" s="7" t="str">
        <f t="shared" si="755"/>
        <v>女</v>
      </c>
      <c r="G3386" s="7" t="s">
        <v>2790</v>
      </c>
      <c r="H3386" s="8"/>
    </row>
    <row r="3387" ht="25" customHeight="1" spans="1:8">
      <c r="A3387" s="6">
        <v>3385</v>
      </c>
      <c r="B3387" s="7" t="str">
        <f t="shared" si="752"/>
        <v>303</v>
      </c>
      <c r="C3387" s="7" t="s">
        <v>2775</v>
      </c>
      <c r="D3387" s="7" t="s">
        <v>2584</v>
      </c>
      <c r="E3387" s="7" t="str">
        <f>"赵志霖"</f>
        <v>赵志霖</v>
      </c>
      <c r="F3387" s="7" t="str">
        <f t="shared" si="755"/>
        <v>女</v>
      </c>
      <c r="G3387" s="7" t="s">
        <v>2791</v>
      </c>
      <c r="H3387" s="8"/>
    </row>
    <row r="3388" ht="25" customHeight="1" spans="1:8">
      <c r="A3388" s="6">
        <v>3386</v>
      </c>
      <c r="B3388" s="7" t="str">
        <f t="shared" si="752"/>
        <v>303</v>
      </c>
      <c r="C3388" s="7" t="s">
        <v>2775</v>
      </c>
      <c r="D3388" s="7" t="s">
        <v>2584</v>
      </c>
      <c r="E3388" s="7" t="str">
        <f>"刘昕"</f>
        <v>刘昕</v>
      </c>
      <c r="F3388" s="7" t="str">
        <f t="shared" si="755"/>
        <v>女</v>
      </c>
      <c r="G3388" s="7" t="s">
        <v>2792</v>
      </c>
      <c r="H3388" s="8"/>
    </row>
    <row r="3389" ht="25" customHeight="1" spans="1:8">
      <c r="A3389" s="6">
        <v>3387</v>
      </c>
      <c r="B3389" s="7" t="str">
        <f t="shared" si="752"/>
        <v>303</v>
      </c>
      <c r="C3389" s="7" t="s">
        <v>2775</v>
      </c>
      <c r="D3389" s="7" t="s">
        <v>2584</v>
      </c>
      <c r="E3389" s="7" t="str">
        <f>"缪佳乐"</f>
        <v>缪佳乐</v>
      </c>
      <c r="F3389" s="7" t="str">
        <f t="shared" si="755"/>
        <v>女</v>
      </c>
      <c r="G3389" s="7" t="s">
        <v>2793</v>
      </c>
      <c r="H3389" s="8"/>
    </row>
    <row r="3390" ht="25" customHeight="1" spans="1:8">
      <c r="A3390" s="6">
        <v>3388</v>
      </c>
      <c r="B3390" s="7" t="str">
        <f t="shared" si="752"/>
        <v>303</v>
      </c>
      <c r="C3390" s="7" t="s">
        <v>2775</v>
      </c>
      <c r="D3390" s="7" t="s">
        <v>2584</v>
      </c>
      <c r="E3390" s="7" t="str">
        <f>"王琦"</f>
        <v>王琦</v>
      </c>
      <c r="F3390" s="7" t="str">
        <f t="shared" si="755"/>
        <v>女</v>
      </c>
      <c r="G3390" s="7" t="s">
        <v>2794</v>
      </c>
      <c r="H3390" s="8"/>
    </row>
    <row r="3391" ht="25" customHeight="1" spans="1:8">
      <c r="A3391" s="6">
        <v>3389</v>
      </c>
      <c r="B3391" s="7" t="str">
        <f t="shared" si="752"/>
        <v>303</v>
      </c>
      <c r="C3391" s="7" t="s">
        <v>2775</v>
      </c>
      <c r="D3391" s="7" t="s">
        <v>2584</v>
      </c>
      <c r="E3391" s="7" t="str">
        <f>"刘倩"</f>
        <v>刘倩</v>
      </c>
      <c r="F3391" s="7" t="str">
        <f t="shared" si="755"/>
        <v>女</v>
      </c>
      <c r="G3391" s="7" t="s">
        <v>2795</v>
      </c>
      <c r="H3391" s="8"/>
    </row>
    <row r="3392" ht="25" customHeight="1" spans="1:8">
      <c r="A3392" s="6">
        <v>3390</v>
      </c>
      <c r="B3392" s="7" t="str">
        <f t="shared" si="752"/>
        <v>303</v>
      </c>
      <c r="C3392" s="7" t="s">
        <v>2775</v>
      </c>
      <c r="D3392" s="7" t="s">
        <v>2584</v>
      </c>
      <c r="E3392" s="7" t="str">
        <f>"符容煊"</f>
        <v>符容煊</v>
      </c>
      <c r="F3392" s="7" t="str">
        <f t="shared" si="755"/>
        <v>女</v>
      </c>
      <c r="G3392" s="7" t="s">
        <v>660</v>
      </c>
      <c r="H3392" s="8"/>
    </row>
    <row r="3393" ht="25" customHeight="1" spans="1:8">
      <c r="A3393" s="6">
        <v>3391</v>
      </c>
      <c r="B3393" s="7" t="str">
        <f t="shared" si="752"/>
        <v>303</v>
      </c>
      <c r="C3393" s="7" t="s">
        <v>2775</v>
      </c>
      <c r="D3393" s="7" t="s">
        <v>2584</v>
      </c>
      <c r="E3393" s="7" t="str">
        <f>"贾颖娴"</f>
        <v>贾颖娴</v>
      </c>
      <c r="F3393" s="7" t="str">
        <f t="shared" si="755"/>
        <v>女</v>
      </c>
      <c r="G3393" s="7" t="s">
        <v>2796</v>
      </c>
      <c r="H3393" s="8"/>
    </row>
    <row r="3394" ht="25" customHeight="1" spans="1:8">
      <c r="A3394" s="6">
        <v>3392</v>
      </c>
      <c r="B3394" s="7" t="str">
        <f t="shared" si="752"/>
        <v>303</v>
      </c>
      <c r="C3394" s="7" t="s">
        <v>2775</v>
      </c>
      <c r="D3394" s="7" t="s">
        <v>2584</v>
      </c>
      <c r="E3394" s="7" t="str">
        <f>"王迅"</f>
        <v>王迅</v>
      </c>
      <c r="F3394" s="7" t="str">
        <f t="shared" si="755"/>
        <v>女</v>
      </c>
      <c r="G3394" s="7" t="s">
        <v>2797</v>
      </c>
      <c r="H3394" s="8"/>
    </row>
    <row r="3395" ht="25" customHeight="1" spans="1:8">
      <c r="A3395" s="6">
        <v>3393</v>
      </c>
      <c r="B3395" s="7" t="str">
        <f t="shared" si="752"/>
        <v>303</v>
      </c>
      <c r="C3395" s="7" t="s">
        <v>2775</v>
      </c>
      <c r="D3395" s="7" t="s">
        <v>2584</v>
      </c>
      <c r="E3395" s="7" t="str">
        <f>"陈鹏"</f>
        <v>陈鹏</v>
      </c>
      <c r="F3395" s="7" t="str">
        <f>"男"</f>
        <v>男</v>
      </c>
      <c r="G3395" s="7" t="s">
        <v>2798</v>
      </c>
      <c r="H3395" s="8"/>
    </row>
    <row r="3396" ht="25" customHeight="1" spans="1:8">
      <c r="A3396" s="6">
        <v>3394</v>
      </c>
      <c r="B3396" s="7" t="str">
        <f t="shared" si="752"/>
        <v>303</v>
      </c>
      <c r="C3396" s="7" t="s">
        <v>2775</v>
      </c>
      <c r="D3396" s="7" t="s">
        <v>2584</v>
      </c>
      <c r="E3396" s="7" t="str">
        <f>"何健"</f>
        <v>何健</v>
      </c>
      <c r="F3396" s="7" t="str">
        <f>"男"</f>
        <v>男</v>
      </c>
      <c r="G3396" s="7" t="s">
        <v>2799</v>
      </c>
      <c r="H3396" s="8"/>
    </row>
    <row r="3397" ht="25" customHeight="1" spans="1:8">
      <c r="A3397" s="6">
        <v>3395</v>
      </c>
      <c r="B3397" s="7" t="str">
        <f t="shared" si="752"/>
        <v>303</v>
      </c>
      <c r="C3397" s="7" t="s">
        <v>2775</v>
      </c>
      <c r="D3397" s="7" t="s">
        <v>2584</v>
      </c>
      <c r="E3397" s="7" t="str">
        <f>"马利"</f>
        <v>马利</v>
      </c>
      <c r="F3397" s="7" t="str">
        <f t="shared" ref="F3397:F3404" si="756">"女"</f>
        <v>女</v>
      </c>
      <c r="G3397" s="7" t="s">
        <v>2800</v>
      </c>
      <c r="H3397" s="8"/>
    </row>
    <row r="3398" ht="25" customHeight="1" spans="1:8">
      <c r="A3398" s="6">
        <v>3396</v>
      </c>
      <c r="B3398" s="7" t="str">
        <f t="shared" si="752"/>
        <v>303</v>
      </c>
      <c r="C3398" s="7" t="s">
        <v>2775</v>
      </c>
      <c r="D3398" s="7" t="s">
        <v>2584</v>
      </c>
      <c r="E3398" s="7" t="str">
        <f>"赵齐月"</f>
        <v>赵齐月</v>
      </c>
      <c r="F3398" s="7" t="str">
        <f t="shared" si="756"/>
        <v>女</v>
      </c>
      <c r="G3398" s="7" t="s">
        <v>2801</v>
      </c>
      <c r="H3398" s="8"/>
    </row>
    <row r="3399" ht="25" customHeight="1" spans="1:8">
      <c r="A3399" s="6">
        <v>3397</v>
      </c>
      <c r="B3399" s="7" t="str">
        <f t="shared" si="752"/>
        <v>303</v>
      </c>
      <c r="C3399" s="7" t="s">
        <v>2775</v>
      </c>
      <c r="D3399" s="7" t="s">
        <v>2584</v>
      </c>
      <c r="E3399" s="7" t="str">
        <f>"贾丙乙"</f>
        <v>贾丙乙</v>
      </c>
      <c r="F3399" s="7" t="str">
        <f t="shared" si="756"/>
        <v>女</v>
      </c>
      <c r="G3399" s="7" t="s">
        <v>2802</v>
      </c>
      <c r="H3399" s="8"/>
    </row>
    <row r="3400" ht="25" customHeight="1" spans="1:8">
      <c r="A3400" s="6">
        <v>3398</v>
      </c>
      <c r="B3400" s="7" t="str">
        <f t="shared" si="752"/>
        <v>303</v>
      </c>
      <c r="C3400" s="7" t="s">
        <v>2775</v>
      </c>
      <c r="D3400" s="7" t="s">
        <v>2584</v>
      </c>
      <c r="E3400" s="7" t="str">
        <f>"黄锦欣"</f>
        <v>黄锦欣</v>
      </c>
      <c r="F3400" s="7" t="str">
        <f t="shared" si="756"/>
        <v>女</v>
      </c>
      <c r="G3400" s="7" t="s">
        <v>2803</v>
      </c>
      <c r="H3400" s="8"/>
    </row>
    <row r="3401" ht="25" customHeight="1" spans="1:8">
      <c r="A3401" s="6">
        <v>3399</v>
      </c>
      <c r="B3401" s="7" t="str">
        <f t="shared" si="752"/>
        <v>303</v>
      </c>
      <c r="C3401" s="7" t="s">
        <v>2775</v>
      </c>
      <c r="D3401" s="7" t="s">
        <v>2584</v>
      </c>
      <c r="E3401" s="7" t="str">
        <f>"赵朴静"</f>
        <v>赵朴静</v>
      </c>
      <c r="F3401" s="7" t="str">
        <f t="shared" si="756"/>
        <v>女</v>
      </c>
      <c r="G3401" s="7" t="s">
        <v>2804</v>
      </c>
      <c r="H3401" s="8"/>
    </row>
    <row r="3402" ht="25" customHeight="1" spans="1:8">
      <c r="A3402" s="6">
        <v>3400</v>
      </c>
      <c r="B3402" s="7" t="str">
        <f t="shared" si="752"/>
        <v>303</v>
      </c>
      <c r="C3402" s="7" t="s">
        <v>2775</v>
      </c>
      <c r="D3402" s="7" t="s">
        <v>2584</v>
      </c>
      <c r="E3402" s="7" t="str">
        <f>"黎倩"</f>
        <v>黎倩</v>
      </c>
      <c r="F3402" s="7" t="str">
        <f t="shared" si="756"/>
        <v>女</v>
      </c>
      <c r="G3402" s="7" t="s">
        <v>2805</v>
      </c>
      <c r="H3402" s="8"/>
    </row>
    <row r="3403" ht="25" customHeight="1" spans="1:8">
      <c r="A3403" s="6">
        <v>3401</v>
      </c>
      <c r="B3403" s="7" t="str">
        <f t="shared" si="752"/>
        <v>303</v>
      </c>
      <c r="C3403" s="7" t="s">
        <v>2775</v>
      </c>
      <c r="D3403" s="7" t="s">
        <v>2584</v>
      </c>
      <c r="E3403" s="7" t="str">
        <f>"李晓燕"</f>
        <v>李晓燕</v>
      </c>
      <c r="F3403" s="7" t="str">
        <f t="shared" si="756"/>
        <v>女</v>
      </c>
      <c r="G3403" s="7" t="s">
        <v>2806</v>
      </c>
      <c r="H3403" s="8"/>
    </row>
    <row r="3404" ht="25" customHeight="1" spans="1:8">
      <c r="A3404" s="6">
        <v>3402</v>
      </c>
      <c r="B3404" s="7" t="str">
        <f t="shared" si="752"/>
        <v>303</v>
      </c>
      <c r="C3404" s="7" t="s">
        <v>2775</v>
      </c>
      <c r="D3404" s="7" t="s">
        <v>2584</v>
      </c>
      <c r="E3404" s="7" t="str">
        <f>"林艳"</f>
        <v>林艳</v>
      </c>
      <c r="F3404" s="7" t="str">
        <f t="shared" si="756"/>
        <v>女</v>
      </c>
      <c r="G3404" s="7" t="s">
        <v>2807</v>
      </c>
      <c r="H3404" s="8"/>
    </row>
    <row r="3405" ht="25" customHeight="1" spans="1:8">
      <c r="A3405" s="6">
        <v>3403</v>
      </c>
      <c r="B3405" s="7" t="str">
        <f t="shared" si="752"/>
        <v>303</v>
      </c>
      <c r="C3405" s="7" t="s">
        <v>2775</v>
      </c>
      <c r="D3405" s="7" t="s">
        <v>2584</v>
      </c>
      <c r="E3405" s="7" t="str">
        <f>"赖华伟"</f>
        <v>赖华伟</v>
      </c>
      <c r="F3405" s="7" t="str">
        <f>"男"</f>
        <v>男</v>
      </c>
      <c r="G3405" s="7" t="s">
        <v>2808</v>
      </c>
      <c r="H3405" s="8"/>
    </row>
    <row r="3406" ht="25" customHeight="1" spans="1:8">
      <c r="A3406" s="6">
        <v>3404</v>
      </c>
      <c r="B3406" s="7" t="str">
        <f t="shared" si="752"/>
        <v>303</v>
      </c>
      <c r="C3406" s="7" t="s">
        <v>2775</v>
      </c>
      <c r="D3406" s="7" t="s">
        <v>2584</v>
      </c>
      <c r="E3406" s="7" t="str">
        <f>"熊玉婉"</f>
        <v>熊玉婉</v>
      </c>
      <c r="F3406" s="7" t="str">
        <f t="shared" ref="F3406:F3413" si="757">"女"</f>
        <v>女</v>
      </c>
      <c r="G3406" s="7" t="s">
        <v>2809</v>
      </c>
      <c r="H3406" s="8"/>
    </row>
    <row r="3407" ht="25" customHeight="1" spans="1:8">
      <c r="A3407" s="6">
        <v>3405</v>
      </c>
      <c r="B3407" s="7" t="str">
        <f t="shared" si="752"/>
        <v>303</v>
      </c>
      <c r="C3407" s="7" t="s">
        <v>2775</v>
      </c>
      <c r="D3407" s="7" t="s">
        <v>2584</v>
      </c>
      <c r="E3407" s="7" t="str">
        <f>"赵安琪"</f>
        <v>赵安琪</v>
      </c>
      <c r="F3407" s="7" t="str">
        <f t="shared" si="757"/>
        <v>女</v>
      </c>
      <c r="G3407" s="7" t="s">
        <v>2810</v>
      </c>
      <c r="H3407" s="8"/>
    </row>
    <row r="3408" ht="25" customHeight="1" spans="1:8">
      <c r="A3408" s="6">
        <v>3406</v>
      </c>
      <c r="B3408" s="7" t="str">
        <f t="shared" si="752"/>
        <v>303</v>
      </c>
      <c r="C3408" s="7" t="s">
        <v>2775</v>
      </c>
      <c r="D3408" s="7" t="s">
        <v>2584</v>
      </c>
      <c r="E3408" s="7" t="str">
        <f>"胡寒祺"</f>
        <v>胡寒祺</v>
      </c>
      <c r="F3408" s="7" t="str">
        <f t="shared" si="757"/>
        <v>女</v>
      </c>
      <c r="G3408" s="7" t="s">
        <v>2811</v>
      </c>
      <c r="H3408" s="8"/>
    </row>
    <row r="3409" ht="25" customHeight="1" spans="1:8">
      <c r="A3409" s="6">
        <v>3407</v>
      </c>
      <c r="B3409" s="7" t="str">
        <f t="shared" si="752"/>
        <v>303</v>
      </c>
      <c r="C3409" s="7" t="s">
        <v>2775</v>
      </c>
      <c r="D3409" s="7" t="s">
        <v>2584</v>
      </c>
      <c r="E3409" s="7" t="str">
        <f>"文莹"</f>
        <v>文莹</v>
      </c>
      <c r="F3409" s="7" t="str">
        <f t="shared" si="757"/>
        <v>女</v>
      </c>
      <c r="G3409" s="7" t="s">
        <v>2812</v>
      </c>
      <c r="H3409" s="8"/>
    </row>
    <row r="3410" ht="25" customHeight="1" spans="1:8">
      <c r="A3410" s="6">
        <v>3408</v>
      </c>
      <c r="B3410" s="7" t="str">
        <f t="shared" si="752"/>
        <v>303</v>
      </c>
      <c r="C3410" s="7" t="s">
        <v>2775</v>
      </c>
      <c r="D3410" s="7" t="s">
        <v>2584</v>
      </c>
      <c r="E3410" s="7" t="str">
        <f>"陈雅"</f>
        <v>陈雅</v>
      </c>
      <c r="F3410" s="7" t="str">
        <f t="shared" si="757"/>
        <v>女</v>
      </c>
      <c r="G3410" s="7" t="s">
        <v>2813</v>
      </c>
      <c r="H3410" s="8"/>
    </row>
    <row r="3411" ht="25" customHeight="1" spans="1:8">
      <c r="A3411" s="6">
        <v>3409</v>
      </c>
      <c r="B3411" s="7" t="str">
        <f t="shared" si="752"/>
        <v>303</v>
      </c>
      <c r="C3411" s="7" t="s">
        <v>2775</v>
      </c>
      <c r="D3411" s="7" t="s">
        <v>2584</v>
      </c>
      <c r="E3411" s="7" t="str">
        <f>"姜梦婷"</f>
        <v>姜梦婷</v>
      </c>
      <c r="F3411" s="7" t="str">
        <f t="shared" si="757"/>
        <v>女</v>
      </c>
      <c r="G3411" s="7" t="s">
        <v>2814</v>
      </c>
      <c r="H3411" s="8"/>
    </row>
    <row r="3412" ht="25" customHeight="1" spans="1:8">
      <c r="A3412" s="6">
        <v>3410</v>
      </c>
      <c r="B3412" s="7" t="str">
        <f t="shared" si="752"/>
        <v>303</v>
      </c>
      <c r="C3412" s="7" t="s">
        <v>2775</v>
      </c>
      <c r="D3412" s="7" t="s">
        <v>2584</v>
      </c>
      <c r="E3412" s="7" t="str">
        <f>"赵悦"</f>
        <v>赵悦</v>
      </c>
      <c r="F3412" s="7" t="str">
        <f t="shared" si="757"/>
        <v>女</v>
      </c>
      <c r="G3412" s="7" t="s">
        <v>2815</v>
      </c>
      <c r="H3412" s="8"/>
    </row>
    <row r="3413" ht="25" customHeight="1" spans="1:8">
      <c r="A3413" s="6">
        <v>3411</v>
      </c>
      <c r="B3413" s="7" t="str">
        <f t="shared" si="752"/>
        <v>303</v>
      </c>
      <c r="C3413" s="7" t="s">
        <v>2775</v>
      </c>
      <c r="D3413" s="7" t="s">
        <v>2584</v>
      </c>
      <c r="E3413" s="7" t="str">
        <f>"廖思宸"</f>
        <v>廖思宸</v>
      </c>
      <c r="F3413" s="7" t="str">
        <f t="shared" si="757"/>
        <v>女</v>
      </c>
      <c r="G3413" s="7" t="s">
        <v>1084</v>
      </c>
      <c r="H3413" s="8"/>
    </row>
    <row r="3414" ht="25" customHeight="1" spans="1:8">
      <c r="A3414" s="6">
        <v>3412</v>
      </c>
      <c r="B3414" s="7" t="str">
        <f t="shared" si="752"/>
        <v>303</v>
      </c>
      <c r="C3414" s="7" t="s">
        <v>2775</v>
      </c>
      <c r="D3414" s="7" t="s">
        <v>2584</v>
      </c>
      <c r="E3414" s="7" t="str">
        <f>"郑辉涛"</f>
        <v>郑辉涛</v>
      </c>
      <c r="F3414" s="7" t="str">
        <f>"男"</f>
        <v>男</v>
      </c>
      <c r="G3414" s="7" t="s">
        <v>2816</v>
      </c>
      <c r="H3414" s="8"/>
    </row>
    <row r="3415" ht="25" customHeight="1" spans="1:8">
      <c r="A3415" s="6">
        <v>3413</v>
      </c>
      <c r="B3415" s="7" t="str">
        <f t="shared" si="752"/>
        <v>303</v>
      </c>
      <c r="C3415" s="7" t="s">
        <v>2775</v>
      </c>
      <c r="D3415" s="7" t="s">
        <v>2584</v>
      </c>
      <c r="E3415" s="7" t="str">
        <f>"马亚平"</f>
        <v>马亚平</v>
      </c>
      <c r="F3415" s="7" t="str">
        <f t="shared" ref="F3415:F3421" si="758">"女"</f>
        <v>女</v>
      </c>
      <c r="G3415" s="7" t="s">
        <v>2817</v>
      </c>
      <c r="H3415" s="8"/>
    </row>
    <row r="3416" ht="25" customHeight="1" spans="1:8">
      <c r="A3416" s="6">
        <v>3414</v>
      </c>
      <c r="B3416" s="7" t="str">
        <f t="shared" si="752"/>
        <v>303</v>
      </c>
      <c r="C3416" s="7" t="s">
        <v>2775</v>
      </c>
      <c r="D3416" s="7" t="s">
        <v>2584</v>
      </c>
      <c r="E3416" s="7" t="str">
        <f>"黄舒倩"</f>
        <v>黄舒倩</v>
      </c>
      <c r="F3416" s="7" t="str">
        <f t="shared" si="758"/>
        <v>女</v>
      </c>
      <c r="G3416" s="7" t="s">
        <v>147</v>
      </c>
      <c r="H3416" s="8"/>
    </row>
    <row r="3417" ht="25" customHeight="1" spans="1:8">
      <c r="A3417" s="6">
        <v>3415</v>
      </c>
      <c r="B3417" s="7" t="str">
        <f t="shared" si="752"/>
        <v>303</v>
      </c>
      <c r="C3417" s="7" t="s">
        <v>2775</v>
      </c>
      <c r="D3417" s="7" t="s">
        <v>2584</v>
      </c>
      <c r="E3417" s="7" t="str">
        <f>"林瑞明"</f>
        <v>林瑞明</v>
      </c>
      <c r="F3417" s="7" t="str">
        <f>"男"</f>
        <v>男</v>
      </c>
      <c r="G3417" s="7" t="s">
        <v>2818</v>
      </c>
      <c r="H3417" s="8"/>
    </row>
    <row r="3418" ht="25" customHeight="1" spans="1:8">
      <c r="A3418" s="6">
        <v>3416</v>
      </c>
      <c r="B3418" s="7" t="str">
        <f t="shared" si="752"/>
        <v>303</v>
      </c>
      <c r="C3418" s="7" t="s">
        <v>2775</v>
      </c>
      <c r="D3418" s="7" t="s">
        <v>2584</v>
      </c>
      <c r="E3418" s="7" t="str">
        <f>"高璇"</f>
        <v>高璇</v>
      </c>
      <c r="F3418" s="7" t="str">
        <f t="shared" si="758"/>
        <v>女</v>
      </c>
      <c r="G3418" s="7" t="s">
        <v>2819</v>
      </c>
      <c r="H3418" s="8"/>
    </row>
    <row r="3419" ht="25" customHeight="1" spans="1:8">
      <c r="A3419" s="6">
        <v>3417</v>
      </c>
      <c r="B3419" s="7" t="str">
        <f t="shared" si="752"/>
        <v>303</v>
      </c>
      <c r="C3419" s="7" t="s">
        <v>2775</v>
      </c>
      <c r="D3419" s="7" t="s">
        <v>2584</v>
      </c>
      <c r="E3419" s="7" t="str">
        <f>"李晓凤"</f>
        <v>李晓凤</v>
      </c>
      <c r="F3419" s="7" t="str">
        <f t="shared" si="758"/>
        <v>女</v>
      </c>
      <c r="G3419" s="7" t="s">
        <v>2820</v>
      </c>
      <c r="H3419" s="8"/>
    </row>
    <row r="3420" ht="25" customHeight="1" spans="1:8">
      <c r="A3420" s="6">
        <v>3418</v>
      </c>
      <c r="B3420" s="7" t="str">
        <f t="shared" si="752"/>
        <v>303</v>
      </c>
      <c r="C3420" s="7" t="s">
        <v>2775</v>
      </c>
      <c r="D3420" s="7" t="s">
        <v>2584</v>
      </c>
      <c r="E3420" s="7" t="str">
        <f>"黄丹"</f>
        <v>黄丹</v>
      </c>
      <c r="F3420" s="7" t="str">
        <f t="shared" si="758"/>
        <v>女</v>
      </c>
      <c r="G3420" s="7" t="s">
        <v>2821</v>
      </c>
      <c r="H3420" s="8"/>
    </row>
    <row r="3421" ht="25" customHeight="1" spans="1:8">
      <c r="A3421" s="6">
        <v>3419</v>
      </c>
      <c r="B3421" s="7" t="str">
        <f t="shared" si="752"/>
        <v>303</v>
      </c>
      <c r="C3421" s="7" t="s">
        <v>2775</v>
      </c>
      <c r="D3421" s="7" t="s">
        <v>2584</v>
      </c>
      <c r="E3421" s="7" t="str">
        <f>"王晨"</f>
        <v>王晨</v>
      </c>
      <c r="F3421" s="7" t="str">
        <f t="shared" si="758"/>
        <v>女</v>
      </c>
      <c r="G3421" s="7" t="s">
        <v>2822</v>
      </c>
      <c r="H3421" s="8"/>
    </row>
    <row r="3422" ht="25" customHeight="1" spans="1:8">
      <c r="A3422" s="6">
        <v>3420</v>
      </c>
      <c r="B3422" s="7" t="str">
        <f t="shared" si="752"/>
        <v>303</v>
      </c>
      <c r="C3422" s="7" t="s">
        <v>2775</v>
      </c>
      <c r="D3422" s="7" t="s">
        <v>2584</v>
      </c>
      <c r="E3422" s="7" t="str">
        <f>"冯黔浩"</f>
        <v>冯黔浩</v>
      </c>
      <c r="F3422" s="7" t="str">
        <f>"男"</f>
        <v>男</v>
      </c>
      <c r="G3422" s="7" t="s">
        <v>2823</v>
      </c>
      <c r="H3422" s="8"/>
    </row>
    <row r="3423" ht="25" customHeight="1" spans="1:8">
      <c r="A3423" s="6">
        <v>3421</v>
      </c>
      <c r="B3423" s="7" t="str">
        <f t="shared" si="752"/>
        <v>303</v>
      </c>
      <c r="C3423" s="7" t="s">
        <v>2775</v>
      </c>
      <c r="D3423" s="7" t="s">
        <v>2584</v>
      </c>
      <c r="E3423" s="7" t="str">
        <f>"黄树文"</f>
        <v>黄树文</v>
      </c>
      <c r="F3423" s="7" t="str">
        <f t="shared" ref="F3423:F3450" si="759">"女"</f>
        <v>女</v>
      </c>
      <c r="G3423" s="7" t="s">
        <v>378</v>
      </c>
      <c r="H3423" s="8"/>
    </row>
    <row r="3424" ht="25" customHeight="1" spans="1:8">
      <c r="A3424" s="6">
        <v>3422</v>
      </c>
      <c r="B3424" s="7" t="str">
        <f t="shared" si="752"/>
        <v>303</v>
      </c>
      <c r="C3424" s="7" t="s">
        <v>2775</v>
      </c>
      <c r="D3424" s="7" t="s">
        <v>2584</v>
      </c>
      <c r="E3424" s="7" t="str">
        <f>"陈思乐"</f>
        <v>陈思乐</v>
      </c>
      <c r="F3424" s="7" t="str">
        <f t="shared" si="759"/>
        <v>女</v>
      </c>
      <c r="G3424" s="7" t="s">
        <v>2824</v>
      </c>
      <c r="H3424" s="8"/>
    </row>
    <row r="3425" ht="25" customHeight="1" spans="1:8">
      <c r="A3425" s="6">
        <v>3423</v>
      </c>
      <c r="B3425" s="7" t="str">
        <f t="shared" si="752"/>
        <v>303</v>
      </c>
      <c r="C3425" s="7" t="s">
        <v>2775</v>
      </c>
      <c r="D3425" s="7" t="s">
        <v>2584</v>
      </c>
      <c r="E3425" s="7" t="str">
        <f>"陈枫仪"</f>
        <v>陈枫仪</v>
      </c>
      <c r="F3425" s="7" t="str">
        <f t="shared" si="759"/>
        <v>女</v>
      </c>
      <c r="G3425" s="7" t="s">
        <v>2825</v>
      </c>
      <c r="H3425" s="8"/>
    </row>
    <row r="3426" ht="25" customHeight="1" spans="1:8">
      <c r="A3426" s="6">
        <v>3424</v>
      </c>
      <c r="B3426" s="7" t="str">
        <f t="shared" si="752"/>
        <v>303</v>
      </c>
      <c r="C3426" s="7" t="s">
        <v>2775</v>
      </c>
      <c r="D3426" s="7" t="s">
        <v>2584</v>
      </c>
      <c r="E3426" s="7" t="str">
        <f>"陈佳怡"</f>
        <v>陈佳怡</v>
      </c>
      <c r="F3426" s="7" t="str">
        <f t="shared" si="759"/>
        <v>女</v>
      </c>
      <c r="G3426" s="7" t="s">
        <v>2826</v>
      </c>
      <c r="H3426" s="8"/>
    </row>
    <row r="3427" ht="25" customHeight="1" spans="1:8">
      <c r="A3427" s="6">
        <v>3425</v>
      </c>
      <c r="B3427" s="7" t="str">
        <f t="shared" si="752"/>
        <v>303</v>
      </c>
      <c r="C3427" s="7" t="s">
        <v>2775</v>
      </c>
      <c r="D3427" s="7" t="s">
        <v>2584</v>
      </c>
      <c r="E3427" s="7" t="str">
        <f>"余莹莹"</f>
        <v>余莹莹</v>
      </c>
      <c r="F3427" s="7" t="str">
        <f t="shared" si="759"/>
        <v>女</v>
      </c>
      <c r="G3427" s="7" t="s">
        <v>2827</v>
      </c>
      <c r="H3427" s="8"/>
    </row>
    <row r="3428" ht="25" customHeight="1" spans="1:8">
      <c r="A3428" s="6">
        <v>3426</v>
      </c>
      <c r="B3428" s="7" t="str">
        <f t="shared" si="752"/>
        <v>303</v>
      </c>
      <c r="C3428" s="7" t="s">
        <v>2775</v>
      </c>
      <c r="D3428" s="7" t="s">
        <v>2584</v>
      </c>
      <c r="E3428" s="7" t="str">
        <f>"羊秀美"</f>
        <v>羊秀美</v>
      </c>
      <c r="F3428" s="7" t="str">
        <f t="shared" si="759"/>
        <v>女</v>
      </c>
      <c r="G3428" s="7" t="s">
        <v>2828</v>
      </c>
      <c r="H3428" s="8"/>
    </row>
    <row r="3429" ht="25" customHeight="1" spans="1:8">
      <c r="A3429" s="6">
        <v>3427</v>
      </c>
      <c r="B3429" s="7" t="str">
        <f t="shared" si="752"/>
        <v>303</v>
      </c>
      <c r="C3429" s="7" t="s">
        <v>2775</v>
      </c>
      <c r="D3429" s="7" t="s">
        <v>2584</v>
      </c>
      <c r="E3429" s="7" t="str">
        <f>"陈妍"</f>
        <v>陈妍</v>
      </c>
      <c r="F3429" s="7" t="str">
        <f t="shared" si="759"/>
        <v>女</v>
      </c>
      <c r="G3429" s="7" t="s">
        <v>2829</v>
      </c>
      <c r="H3429" s="8"/>
    </row>
    <row r="3430" ht="25" customHeight="1" spans="1:8">
      <c r="A3430" s="6">
        <v>3428</v>
      </c>
      <c r="B3430" s="7" t="str">
        <f t="shared" si="752"/>
        <v>303</v>
      </c>
      <c r="C3430" s="7" t="s">
        <v>2775</v>
      </c>
      <c r="D3430" s="7" t="s">
        <v>2584</v>
      </c>
      <c r="E3430" s="7" t="str">
        <f>"卢嘉怡"</f>
        <v>卢嘉怡</v>
      </c>
      <c r="F3430" s="7" t="str">
        <f t="shared" si="759"/>
        <v>女</v>
      </c>
      <c r="G3430" s="7" t="s">
        <v>2830</v>
      </c>
      <c r="H3430" s="8"/>
    </row>
    <row r="3431" ht="25" customHeight="1" spans="1:8">
      <c r="A3431" s="6">
        <v>3429</v>
      </c>
      <c r="B3431" s="7" t="str">
        <f t="shared" si="752"/>
        <v>303</v>
      </c>
      <c r="C3431" s="7" t="s">
        <v>2775</v>
      </c>
      <c r="D3431" s="7" t="s">
        <v>2584</v>
      </c>
      <c r="E3431" s="7" t="str">
        <f>"黄媚"</f>
        <v>黄媚</v>
      </c>
      <c r="F3431" s="7" t="str">
        <f t="shared" si="759"/>
        <v>女</v>
      </c>
      <c r="G3431" s="7" t="s">
        <v>2831</v>
      </c>
      <c r="H3431" s="8"/>
    </row>
    <row r="3432" ht="25" customHeight="1" spans="1:8">
      <c r="A3432" s="6">
        <v>3430</v>
      </c>
      <c r="B3432" s="7" t="str">
        <f t="shared" si="752"/>
        <v>303</v>
      </c>
      <c r="C3432" s="7" t="s">
        <v>2775</v>
      </c>
      <c r="D3432" s="7" t="s">
        <v>2584</v>
      </c>
      <c r="E3432" s="7" t="str">
        <f>"林欣然"</f>
        <v>林欣然</v>
      </c>
      <c r="F3432" s="7" t="str">
        <f t="shared" si="759"/>
        <v>女</v>
      </c>
      <c r="G3432" s="7" t="s">
        <v>2832</v>
      </c>
      <c r="H3432" s="8"/>
    </row>
    <row r="3433" ht="25" customHeight="1" spans="1:8">
      <c r="A3433" s="6">
        <v>3431</v>
      </c>
      <c r="B3433" s="7" t="str">
        <f t="shared" si="752"/>
        <v>303</v>
      </c>
      <c r="C3433" s="7" t="s">
        <v>2775</v>
      </c>
      <c r="D3433" s="7" t="s">
        <v>2584</v>
      </c>
      <c r="E3433" s="7" t="str">
        <f>"王文佳"</f>
        <v>王文佳</v>
      </c>
      <c r="F3433" s="7" t="str">
        <f t="shared" si="759"/>
        <v>女</v>
      </c>
      <c r="G3433" s="7" t="s">
        <v>1639</v>
      </c>
      <c r="H3433" s="8"/>
    </row>
    <row r="3434" ht="25" customHeight="1" spans="1:8">
      <c r="A3434" s="6">
        <v>3432</v>
      </c>
      <c r="B3434" s="7" t="str">
        <f t="shared" ref="B3434:B3449" si="760">"303"</f>
        <v>303</v>
      </c>
      <c r="C3434" s="7" t="s">
        <v>2775</v>
      </c>
      <c r="D3434" s="7" t="s">
        <v>2584</v>
      </c>
      <c r="E3434" s="7" t="str">
        <f>"陈紫薇"</f>
        <v>陈紫薇</v>
      </c>
      <c r="F3434" s="7" t="str">
        <f t="shared" si="759"/>
        <v>女</v>
      </c>
      <c r="G3434" s="7" t="s">
        <v>2833</v>
      </c>
      <c r="H3434" s="8"/>
    </row>
    <row r="3435" ht="25" customHeight="1" spans="1:8">
      <c r="A3435" s="6">
        <v>3433</v>
      </c>
      <c r="B3435" s="7" t="str">
        <f t="shared" si="760"/>
        <v>303</v>
      </c>
      <c r="C3435" s="7" t="s">
        <v>2775</v>
      </c>
      <c r="D3435" s="7" t="s">
        <v>2584</v>
      </c>
      <c r="E3435" s="7" t="str">
        <f>"黄慧"</f>
        <v>黄慧</v>
      </c>
      <c r="F3435" s="7" t="str">
        <f t="shared" si="759"/>
        <v>女</v>
      </c>
      <c r="G3435" s="7" t="s">
        <v>2834</v>
      </c>
      <c r="H3435" s="8"/>
    </row>
    <row r="3436" ht="25" customHeight="1" spans="1:8">
      <c r="A3436" s="6">
        <v>3434</v>
      </c>
      <c r="B3436" s="7" t="str">
        <f t="shared" si="760"/>
        <v>303</v>
      </c>
      <c r="C3436" s="7" t="s">
        <v>2775</v>
      </c>
      <c r="D3436" s="7" t="s">
        <v>2584</v>
      </c>
      <c r="E3436" s="7" t="str">
        <f>"洪美琴"</f>
        <v>洪美琴</v>
      </c>
      <c r="F3436" s="7" t="str">
        <f t="shared" si="759"/>
        <v>女</v>
      </c>
      <c r="G3436" s="7" t="s">
        <v>2835</v>
      </c>
      <c r="H3436" s="8"/>
    </row>
    <row r="3437" ht="25" customHeight="1" spans="1:8">
      <c r="A3437" s="6">
        <v>3435</v>
      </c>
      <c r="B3437" s="7" t="str">
        <f t="shared" si="760"/>
        <v>303</v>
      </c>
      <c r="C3437" s="7" t="s">
        <v>2775</v>
      </c>
      <c r="D3437" s="7" t="s">
        <v>2584</v>
      </c>
      <c r="E3437" s="7" t="str">
        <f>"麦金果"</f>
        <v>麦金果</v>
      </c>
      <c r="F3437" s="7" t="str">
        <f t="shared" si="759"/>
        <v>女</v>
      </c>
      <c r="G3437" s="7" t="s">
        <v>2250</v>
      </c>
      <c r="H3437" s="8"/>
    </row>
    <row r="3438" ht="25" customHeight="1" spans="1:8">
      <c r="A3438" s="6">
        <v>3436</v>
      </c>
      <c r="B3438" s="7" t="str">
        <f t="shared" si="760"/>
        <v>303</v>
      </c>
      <c r="C3438" s="7" t="s">
        <v>2775</v>
      </c>
      <c r="D3438" s="7" t="s">
        <v>2584</v>
      </c>
      <c r="E3438" s="7" t="str">
        <f>"邢维雅"</f>
        <v>邢维雅</v>
      </c>
      <c r="F3438" s="7" t="str">
        <f t="shared" si="759"/>
        <v>女</v>
      </c>
      <c r="G3438" s="7" t="s">
        <v>2836</v>
      </c>
      <c r="H3438" s="8"/>
    </row>
    <row r="3439" ht="25" customHeight="1" spans="1:8">
      <c r="A3439" s="6">
        <v>3437</v>
      </c>
      <c r="B3439" s="7" t="str">
        <f t="shared" si="760"/>
        <v>303</v>
      </c>
      <c r="C3439" s="7" t="s">
        <v>2775</v>
      </c>
      <c r="D3439" s="7" t="s">
        <v>2584</v>
      </c>
      <c r="E3439" s="7" t="str">
        <f>"冯婷"</f>
        <v>冯婷</v>
      </c>
      <c r="F3439" s="7" t="str">
        <f t="shared" si="759"/>
        <v>女</v>
      </c>
      <c r="G3439" s="7" t="s">
        <v>2837</v>
      </c>
      <c r="H3439" s="8"/>
    </row>
    <row r="3440" ht="25" customHeight="1" spans="1:8">
      <c r="A3440" s="6">
        <v>3438</v>
      </c>
      <c r="B3440" s="7" t="str">
        <f t="shared" si="760"/>
        <v>303</v>
      </c>
      <c r="C3440" s="7" t="s">
        <v>2775</v>
      </c>
      <c r="D3440" s="7" t="s">
        <v>2584</v>
      </c>
      <c r="E3440" s="7" t="str">
        <f>"邢海崟"</f>
        <v>邢海崟</v>
      </c>
      <c r="F3440" s="7" t="str">
        <f t="shared" si="759"/>
        <v>女</v>
      </c>
      <c r="G3440" s="7" t="s">
        <v>2838</v>
      </c>
      <c r="H3440" s="8"/>
    </row>
    <row r="3441" ht="25" customHeight="1" spans="1:8">
      <c r="A3441" s="6">
        <v>3439</v>
      </c>
      <c r="B3441" s="7" t="str">
        <f t="shared" si="760"/>
        <v>303</v>
      </c>
      <c r="C3441" s="7" t="s">
        <v>2775</v>
      </c>
      <c r="D3441" s="7" t="s">
        <v>2584</v>
      </c>
      <c r="E3441" s="7" t="str">
        <f>"容亮佳"</f>
        <v>容亮佳</v>
      </c>
      <c r="F3441" s="7" t="str">
        <f t="shared" si="759"/>
        <v>女</v>
      </c>
      <c r="G3441" s="7" t="s">
        <v>195</v>
      </c>
      <c r="H3441" s="8"/>
    </row>
    <row r="3442" ht="25" customHeight="1" spans="1:8">
      <c r="A3442" s="6">
        <v>3440</v>
      </c>
      <c r="B3442" s="7" t="str">
        <f t="shared" si="760"/>
        <v>303</v>
      </c>
      <c r="C3442" s="7" t="s">
        <v>2775</v>
      </c>
      <c r="D3442" s="7" t="s">
        <v>2584</v>
      </c>
      <c r="E3442" s="7" t="str">
        <f>"朱晓艺"</f>
        <v>朱晓艺</v>
      </c>
      <c r="F3442" s="7" t="str">
        <f t="shared" si="759"/>
        <v>女</v>
      </c>
      <c r="G3442" s="7" t="s">
        <v>2839</v>
      </c>
      <c r="H3442" s="8"/>
    </row>
    <row r="3443" ht="25" customHeight="1" spans="1:8">
      <c r="A3443" s="6">
        <v>3441</v>
      </c>
      <c r="B3443" s="7" t="str">
        <f t="shared" si="760"/>
        <v>303</v>
      </c>
      <c r="C3443" s="7" t="s">
        <v>2775</v>
      </c>
      <c r="D3443" s="7" t="s">
        <v>2584</v>
      </c>
      <c r="E3443" s="7" t="str">
        <f>"吴双"</f>
        <v>吴双</v>
      </c>
      <c r="F3443" s="7" t="str">
        <f t="shared" si="759"/>
        <v>女</v>
      </c>
      <c r="G3443" s="7" t="s">
        <v>2840</v>
      </c>
      <c r="H3443" s="8"/>
    </row>
    <row r="3444" ht="25" customHeight="1" spans="1:8">
      <c r="A3444" s="6">
        <v>3442</v>
      </c>
      <c r="B3444" s="7" t="str">
        <f t="shared" si="760"/>
        <v>303</v>
      </c>
      <c r="C3444" s="7" t="s">
        <v>2775</v>
      </c>
      <c r="D3444" s="7" t="s">
        <v>2584</v>
      </c>
      <c r="E3444" s="7" t="str">
        <f>"文晓静"</f>
        <v>文晓静</v>
      </c>
      <c r="F3444" s="7" t="str">
        <f t="shared" si="759"/>
        <v>女</v>
      </c>
      <c r="G3444" s="7" t="s">
        <v>2841</v>
      </c>
      <c r="H3444" s="8"/>
    </row>
    <row r="3445" ht="25" customHeight="1" spans="1:8">
      <c r="A3445" s="6">
        <v>3443</v>
      </c>
      <c r="B3445" s="7" t="str">
        <f t="shared" si="760"/>
        <v>303</v>
      </c>
      <c r="C3445" s="7" t="s">
        <v>2775</v>
      </c>
      <c r="D3445" s="7" t="s">
        <v>2584</v>
      </c>
      <c r="E3445" s="7" t="str">
        <f>"向桂娴"</f>
        <v>向桂娴</v>
      </c>
      <c r="F3445" s="7" t="str">
        <f t="shared" si="759"/>
        <v>女</v>
      </c>
      <c r="G3445" s="7" t="s">
        <v>2842</v>
      </c>
      <c r="H3445" s="8"/>
    </row>
    <row r="3446" ht="25" customHeight="1" spans="1:8">
      <c r="A3446" s="6">
        <v>3444</v>
      </c>
      <c r="B3446" s="7" t="str">
        <f t="shared" si="760"/>
        <v>303</v>
      </c>
      <c r="C3446" s="7" t="s">
        <v>2775</v>
      </c>
      <c r="D3446" s="7" t="s">
        <v>2584</v>
      </c>
      <c r="E3446" s="7" t="str">
        <f>"符文艳"</f>
        <v>符文艳</v>
      </c>
      <c r="F3446" s="7" t="str">
        <f t="shared" si="759"/>
        <v>女</v>
      </c>
      <c r="G3446" s="7" t="s">
        <v>2843</v>
      </c>
      <c r="H3446" s="8"/>
    </row>
    <row r="3447" ht="25" customHeight="1" spans="1:8">
      <c r="A3447" s="6">
        <v>3445</v>
      </c>
      <c r="B3447" s="7" t="str">
        <f t="shared" si="760"/>
        <v>303</v>
      </c>
      <c r="C3447" s="7" t="s">
        <v>2775</v>
      </c>
      <c r="D3447" s="7" t="s">
        <v>2584</v>
      </c>
      <c r="E3447" s="7" t="str">
        <f>"李依函"</f>
        <v>李依函</v>
      </c>
      <c r="F3447" s="7" t="str">
        <f t="shared" si="759"/>
        <v>女</v>
      </c>
      <c r="G3447" s="7" t="s">
        <v>2844</v>
      </c>
      <c r="H3447" s="8"/>
    </row>
    <row r="3448" ht="25" customHeight="1" spans="1:8">
      <c r="A3448" s="6">
        <v>3446</v>
      </c>
      <c r="B3448" s="7" t="str">
        <f t="shared" si="760"/>
        <v>303</v>
      </c>
      <c r="C3448" s="7" t="s">
        <v>2775</v>
      </c>
      <c r="D3448" s="7" t="s">
        <v>2584</v>
      </c>
      <c r="E3448" s="7" t="str">
        <f>"凌慧"</f>
        <v>凌慧</v>
      </c>
      <c r="F3448" s="7" t="str">
        <f t="shared" si="759"/>
        <v>女</v>
      </c>
      <c r="G3448" s="7" t="s">
        <v>2845</v>
      </c>
      <c r="H3448" s="8"/>
    </row>
    <row r="3449" ht="25" customHeight="1" spans="1:8">
      <c r="A3449" s="6">
        <v>3447</v>
      </c>
      <c r="B3449" s="7" t="str">
        <f t="shared" si="760"/>
        <v>303</v>
      </c>
      <c r="C3449" s="7" t="s">
        <v>2775</v>
      </c>
      <c r="D3449" s="7" t="s">
        <v>2584</v>
      </c>
      <c r="E3449" s="7" t="str">
        <f>"周莹"</f>
        <v>周莹</v>
      </c>
      <c r="F3449" s="7" t="str">
        <f t="shared" si="759"/>
        <v>女</v>
      </c>
      <c r="G3449" s="7" t="s">
        <v>402</v>
      </c>
      <c r="H3449" s="8"/>
    </row>
    <row r="3450" ht="25" customHeight="1" spans="1:8">
      <c r="A3450" s="6">
        <v>3448</v>
      </c>
      <c r="B3450" s="7" t="str">
        <f t="shared" ref="B3450:B3471" si="761">"304"</f>
        <v>304</v>
      </c>
      <c r="C3450" s="7" t="s">
        <v>2846</v>
      </c>
      <c r="D3450" s="7" t="s">
        <v>2584</v>
      </c>
      <c r="E3450" s="7" t="str">
        <f>"贾义娇"</f>
        <v>贾义娇</v>
      </c>
      <c r="F3450" s="7" t="str">
        <f t="shared" si="759"/>
        <v>女</v>
      </c>
      <c r="G3450" s="7" t="s">
        <v>2847</v>
      </c>
      <c r="H3450" s="8"/>
    </row>
    <row r="3451" ht="25" customHeight="1" spans="1:8">
      <c r="A3451" s="6">
        <v>3449</v>
      </c>
      <c r="B3451" s="7" t="str">
        <f t="shared" si="761"/>
        <v>304</v>
      </c>
      <c r="C3451" s="7" t="s">
        <v>2846</v>
      </c>
      <c r="D3451" s="7" t="s">
        <v>2584</v>
      </c>
      <c r="E3451" s="7" t="str">
        <f>"郑磊"</f>
        <v>郑磊</v>
      </c>
      <c r="F3451" s="7" t="str">
        <f t="shared" ref="F3451:F3455" si="762">"男"</f>
        <v>男</v>
      </c>
      <c r="G3451" s="7" t="s">
        <v>2848</v>
      </c>
      <c r="H3451" s="8"/>
    </row>
    <row r="3452" ht="25" customHeight="1" spans="1:8">
      <c r="A3452" s="6">
        <v>3450</v>
      </c>
      <c r="B3452" s="7" t="str">
        <f t="shared" si="761"/>
        <v>304</v>
      </c>
      <c r="C3452" s="7" t="s">
        <v>2846</v>
      </c>
      <c r="D3452" s="7" t="s">
        <v>2584</v>
      </c>
      <c r="E3452" s="7" t="str">
        <f>"莫雪"</f>
        <v>莫雪</v>
      </c>
      <c r="F3452" s="7" t="str">
        <f t="shared" ref="F3452:F3457" si="763">"女"</f>
        <v>女</v>
      </c>
      <c r="G3452" s="7" t="s">
        <v>480</v>
      </c>
      <c r="H3452" s="8"/>
    </row>
    <row r="3453" ht="25" customHeight="1" spans="1:8">
      <c r="A3453" s="6">
        <v>3451</v>
      </c>
      <c r="B3453" s="7" t="str">
        <f t="shared" si="761"/>
        <v>304</v>
      </c>
      <c r="C3453" s="7" t="s">
        <v>2846</v>
      </c>
      <c r="D3453" s="7" t="s">
        <v>2584</v>
      </c>
      <c r="E3453" s="7" t="str">
        <f>"李显利"</f>
        <v>李显利</v>
      </c>
      <c r="F3453" s="7" t="str">
        <f t="shared" si="763"/>
        <v>女</v>
      </c>
      <c r="G3453" s="7" t="s">
        <v>2849</v>
      </c>
      <c r="H3453" s="8"/>
    </row>
    <row r="3454" ht="25" customHeight="1" spans="1:8">
      <c r="A3454" s="6">
        <v>3452</v>
      </c>
      <c r="B3454" s="7" t="str">
        <f t="shared" si="761"/>
        <v>304</v>
      </c>
      <c r="C3454" s="7" t="s">
        <v>2846</v>
      </c>
      <c r="D3454" s="7" t="s">
        <v>2584</v>
      </c>
      <c r="E3454" s="7" t="str">
        <f>"杨大雄"</f>
        <v>杨大雄</v>
      </c>
      <c r="F3454" s="7" t="str">
        <f t="shared" si="762"/>
        <v>男</v>
      </c>
      <c r="G3454" s="7" t="s">
        <v>2850</v>
      </c>
      <c r="H3454" s="8"/>
    </row>
    <row r="3455" ht="25" customHeight="1" spans="1:8">
      <c r="A3455" s="6">
        <v>3453</v>
      </c>
      <c r="B3455" s="7" t="str">
        <f t="shared" si="761"/>
        <v>304</v>
      </c>
      <c r="C3455" s="7" t="s">
        <v>2846</v>
      </c>
      <c r="D3455" s="7" t="s">
        <v>2584</v>
      </c>
      <c r="E3455" s="7" t="str">
        <f>"陈棠涛"</f>
        <v>陈棠涛</v>
      </c>
      <c r="F3455" s="7" t="str">
        <f t="shared" si="762"/>
        <v>男</v>
      </c>
      <c r="G3455" s="7" t="s">
        <v>2851</v>
      </c>
      <c r="H3455" s="8"/>
    </row>
    <row r="3456" ht="25" customHeight="1" spans="1:8">
      <c r="A3456" s="6">
        <v>3454</v>
      </c>
      <c r="B3456" s="7" t="str">
        <f t="shared" si="761"/>
        <v>304</v>
      </c>
      <c r="C3456" s="7" t="s">
        <v>2846</v>
      </c>
      <c r="D3456" s="7" t="s">
        <v>2584</v>
      </c>
      <c r="E3456" s="7" t="str">
        <f>"吴丽"</f>
        <v>吴丽</v>
      </c>
      <c r="F3456" s="7" t="str">
        <f t="shared" si="763"/>
        <v>女</v>
      </c>
      <c r="G3456" s="7" t="s">
        <v>1564</v>
      </c>
      <c r="H3456" s="8"/>
    </row>
    <row r="3457" ht="25" customHeight="1" spans="1:8">
      <c r="A3457" s="6">
        <v>3455</v>
      </c>
      <c r="B3457" s="7" t="str">
        <f t="shared" si="761"/>
        <v>304</v>
      </c>
      <c r="C3457" s="7" t="s">
        <v>2846</v>
      </c>
      <c r="D3457" s="7" t="s">
        <v>2584</v>
      </c>
      <c r="E3457" s="7" t="str">
        <f>"孙尔禧"</f>
        <v>孙尔禧</v>
      </c>
      <c r="F3457" s="7" t="str">
        <f t="shared" si="763"/>
        <v>女</v>
      </c>
      <c r="G3457" s="7" t="s">
        <v>1366</v>
      </c>
      <c r="H3457" s="8"/>
    </row>
    <row r="3458" ht="25" customHeight="1" spans="1:8">
      <c r="A3458" s="6">
        <v>3456</v>
      </c>
      <c r="B3458" s="7" t="str">
        <f t="shared" si="761"/>
        <v>304</v>
      </c>
      <c r="C3458" s="7" t="s">
        <v>2846</v>
      </c>
      <c r="D3458" s="7" t="s">
        <v>2584</v>
      </c>
      <c r="E3458" s="7" t="str">
        <f>"聂伟峰"</f>
        <v>聂伟峰</v>
      </c>
      <c r="F3458" s="7" t="str">
        <f t="shared" ref="F3458:F3463" si="764">"男"</f>
        <v>男</v>
      </c>
      <c r="G3458" s="7" t="s">
        <v>2852</v>
      </c>
      <c r="H3458" s="8"/>
    </row>
    <row r="3459" ht="25" customHeight="1" spans="1:8">
      <c r="A3459" s="6">
        <v>3457</v>
      </c>
      <c r="B3459" s="7" t="str">
        <f t="shared" si="761"/>
        <v>304</v>
      </c>
      <c r="C3459" s="7" t="s">
        <v>2846</v>
      </c>
      <c r="D3459" s="7" t="s">
        <v>2584</v>
      </c>
      <c r="E3459" s="7" t="str">
        <f>"陈敏"</f>
        <v>陈敏</v>
      </c>
      <c r="F3459" s="7" t="str">
        <f t="shared" ref="F3459:F3466" si="765">"女"</f>
        <v>女</v>
      </c>
      <c r="G3459" s="7" t="s">
        <v>2853</v>
      </c>
      <c r="H3459" s="8"/>
    </row>
    <row r="3460" ht="25" customHeight="1" spans="1:8">
      <c r="A3460" s="6">
        <v>3458</v>
      </c>
      <c r="B3460" s="7" t="str">
        <f t="shared" si="761"/>
        <v>304</v>
      </c>
      <c r="C3460" s="7" t="s">
        <v>2846</v>
      </c>
      <c r="D3460" s="7" t="s">
        <v>2584</v>
      </c>
      <c r="E3460" s="7" t="str">
        <f>"陈丽妃"</f>
        <v>陈丽妃</v>
      </c>
      <c r="F3460" s="7" t="str">
        <f t="shared" si="765"/>
        <v>女</v>
      </c>
      <c r="G3460" s="7" t="s">
        <v>2854</v>
      </c>
      <c r="H3460" s="8"/>
    </row>
    <row r="3461" ht="25" customHeight="1" spans="1:8">
      <c r="A3461" s="6">
        <v>3459</v>
      </c>
      <c r="B3461" s="7" t="str">
        <f t="shared" si="761"/>
        <v>304</v>
      </c>
      <c r="C3461" s="7" t="s">
        <v>2846</v>
      </c>
      <c r="D3461" s="7" t="s">
        <v>2584</v>
      </c>
      <c r="E3461" s="7" t="str">
        <f>"陈益嘉"</f>
        <v>陈益嘉</v>
      </c>
      <c r="F3461" s="7" t="str">
        <f t="shared" si="764"/>
        <v>男</v>
      </c>
      <c r="G3461" s="7" t="s">
        <v>987</v>
      </c>
      <c r="H3461" s="8"/>
    </row>
    <row r="3462" ht="25" customHeight="1" spans="1:8">
      <c r="A3462" s="6">
        <v>3460</v>
      </c>
      <c r="B3462" s="7" t="str">
        <f t="shared" si="761"/>
        <v>304</v>
      </c>
      <c r="C3462" s="7" t="s">
        <v>2846</v>
      </c>
      <c r="D3462" s="7" t="s">
        <v>2584</v>
      </c>
      <c r="E3462" s="7" t="str">
        <f>"李光"</f>
        <v>李光</v>
      </c>
      <c r="F3462" s="7" t="str">
        <f t="shared" si="764"/>
        <v>男</v>
      </c>
      <c r="G3462" s="7" t="s">
        <v>2855</v>
      </c>
      <c r="H3462" s="8"/>
    </row>
    <row r="3463" ht="25" customHeight="1" spans="1:8">
      <c r="A3463" s="6">
        <v>3461</v>
      </c>
      <c r="B3463" s="7" t="str">
        <f t="shared" si="761"/>
        <v>304</v>
      </c>
      <c r="C3463" s="7" t="s">
        <v>2846</v>
      </c>
      <c r="D3463" s="7" t="s">
        <v>2584</v>
      </c>
      <c r="E3463" s="7" t="str">
        <f>"吴雨声"</f>
        <v>吴雨声</v>
      </c>
      <c r="F3463" s="7" t="str">
        <f t="shared" si="764"/>
        <v>男</v>
      </c>
      <c r="G3463" s="7" t="s">
        <v>2856</v>
      </c>
      <c r="H3463" s="8"/>
    </row>
    <row r="3464" ht="25" customHeight="1" spans="1:8">
      <c r="A3464" s="6">
        <v>3462</v>
      </c>
      <c r="B3464" s="7" t="str">
        <f t="shared" si="761"/>
        <v>304</v>
      </c>
      <c r="C3464" s="7" t="s">
        <v>2846</v>
      </c>
      <c r="D3464" s="7" t="s">
        <v>2584</v>
      </c>
      <c r="E3464" s="7" t="str">
        <f>"栾晨竹"</f>
        <v>栾晨竹</v>
      </c>
      <c r="F3464" s="7" t="str">
        <f t="shared" si="765"/>
        <v>女</v>
      </c>
      <c r="G3464" s="7" t="s">
        <v>2857</v>
      </c>
      <c r="H3464" s="8"/>
    </row>
    <row r="3465" ht="25" customHeight="1" spans="1:8">
      <c r="A3465" s="6">
        <v>3463</v>
      </c>
      <c r="B3465" s="7" t="str">
        <f t="shared" si="761"/>
        <v>304</v>
      </c>
      <c r="C3465" s="7" t="s">
        <v>2846</v>
      </c>
      <c r="D3465" s="7" t="s">
        <v>2584</v>
      </c>
      <c r="E3465" s="7" t="str">
        <f>"朱丽丽"</f>
        <v>朱丽丽</v>
      </c>
      <c r="F3465" s="7" t="str">
        <f t="shared" si="765"/>
        <v>女</v>
      </c>
      <c r="G3465" s="7" t="s">
        <v>2858</v>
      </c>
      <c r="H3465" s="8"/>
    </row>
    <row r="3466" ht="25" customHeight="1" spans="1:8">
      <c r="A3466" s="6">
        <v>3464</v>
      </c>
      <c r="B3466" s="7" t="str">
        <f t="shared" si="761"/>
        <v>304</v>
      </c>
      <c r="C3466" s="7" t="s">
        <v>2846</v>
      </c>
      <c r="D3466" s="7" t="s">
        <v>2584</v>
      </c>
      <c r="E3466" s="7" t="str">
        <f>"李燕"</f>
        <v>李燕</v>
      </c>
      <c r="F3466" s="7" t="str">
        <f t="shared" si="765"/>
        <v>女</v>
      </c>
      <c r="G3466" s="7" t="s">
        <v>463</v>
      </c>
      <c r="H3466" s="8"/>
    </row>
    <row r="3467" ht="25" customHeight="1" spans="1:8">
      <c r="A3467" s="6">
        <v>3465</v>
      </c>
      <c r="B3467" s="7" t="str">
        <f t="shared" si="761"/>
        <v>304</v>
      </c>
      <c r="C3467" s="7" t="s">
        <v>2846</v>
      </c>
      <c r="D3467" s="7" t="s">
        <v>2584</v>
      </c>
      <c r="E3467" s="7" t="str">
        <f>"卓吉贤"</f>
        <v>卓吉贤</v>
      </c>
      <c r="F3467" s="7" t="str">
        <f>"男"</f>
        <v>男</v>
      </c>
      <c r="G3467" s="7" t="s">
        <v>2859</v>
      </c>
      <c r="H3467" s="8"/>
    </row>
    <row r="3468" ht="25" customHeight="1" spans="1:8">
      <c r="A3468" s="6">
        <v>3466</v>
      </c>
      <c r="B3468" s="7" t="str">
        <f t="shared" si="761"/>
        <v>304</v>
      </c>
      <c r="C3468" s="7" t="s">
        <v>2846</v>
      </c>
      <c r="D3468" s="7" t="s">
        <v>2584</v>
      </c>
      <c r="E3468" s="7" t="str">
        <f>"何德彬"</f>
        <v>何德彬</v>
      </c>
      <c r="F3468" s="7" t="str">
        <f>"男"</f>
        <v>男</v>
      </c>
      <c r="G3468" s="7" t="s">
        <v>2860</v>
      </c>
      <c r="H3468" s="8"/>
    </row>
    <row r="3469" ht="25" customHeight="1" spans="1:8">
      <c r="A3469" s="6">
        <v>3467</v>
      </c>
      <c r="B3469" s="7" t="str">
        <f t="shared" si="761"/>
        <v>304</v>
      </c>
      <c r="C3469" s="7" t="s">
        <v>2846</v>
      </c>
      <c r="D3469" s="7" t="s">
        <v>2584</v>
      </c>
      <c r="E3469" s="7" t="str">
        <f>"叶俊辰"</f>
        <v>叶俊辰</v>
      </c>
      <c r="F3469" s="7" t="str">
        <f t="shared" ref="F3469:F3477" si="766">"女"</f>
        <v>女</v>
      </c>
      <c r="G3469" s="7" t="s">
        <v>606</v>
      </c>
      <c r="H3469" s="8"/>
    </row>
    <row r="3470" ht="25" customHeight="1" spans="1:8">
      <c r="A3470" s="6">
        <v>3468</v>
      </c>
      <c r="B3470" s="7" t="str">
        <f t="shared" si="761"/>
        <v>304</v>
      </c>
      <c r="C3470" s="7" t="s">
        <v>2846</v>
      </c>
      <c r="D3470" s="7" t="s">
        <v>2584</v>
      </c>
      <c r="E3470" s="7" t="str">
        <f>"符业丹"</f>
        <v>符业丹</v>
      </c>
      <c r="F3470" s="7" t="str">
        <f t="shared" si="766"/>
        <v>女</v>
      </c>
      <c r="G3470" s="7" t="s">
        <v>497</v>
      </c>
      <c r="H3470" s="8"/>
    </row>
    <row r="3471" ht="25" customHeight="1" spans="1:8">
      <c r="A3471" s="6">
        <v>3469</v>
      </c>
      <c r="B3471" s="7" t="str">
        <f t="shared" si="761"/>
        <v>304</v>
      </c>
      <c r="C3471" s="7" t="s">
        <v>2846</v>
      </c>
      <c r="D3471" s="7" t="s">
        <v>2584</v>
      </c>
      <c r="E3471" s="7" t="str">
        <f>"郑欣然"</f>
        <v>郑欣然</v>
      </c>
      <c r="F3471" s="7" t="str">
        <f t="shared" si="766"/>
        <v>女</v>
      </c>
      <c r="G3471" s="7" t="s">
        <v>2861</v>
      </c>
      <c r="H3471" s="8"/>
    </row>
    <row r="3472" ht="25" customHeight="1" spans="1:8">
      <c r="A3472" s="6">
        <v>3470</v>
      </c>
      <c r="B3472" s="7" t="str">
        <f t="shared" ref="B3472:B3535" si="767">"305"</f>
        <v>305</v>
      </c>
      <c r="C3472" s="7" t="s">
        <v>2862</v>
      </c>
      <c r="D3472" s="7" t="s">
        <v>2584</v>
      </c>
      <c r="E3472" s="7" t="str">
        <f>"黎金玲"</f>
        <v>黎金玲</v>
      </c>
      <c r="F3472" s="7" t="str">
        <f t="shared" si="766"/>
        <v>女</v>
      </c>
      <c r="G3472" s="7" t="s">
        <v>474</v>
      </c>
      <c r="H3472" s="8"/>
    </row>
    <row r="3473" ht="25" customHeight="1" spans="1:8">
      <c r="A3473" s="6">
        <v>3471</v>
      </c>
      <c r="B3473" s="7" t="str">
        <f t="shared" si="767"/>
        <v>305</v>
      </c>
      <c r="C3473" s="7" t="s">
        <v>2862</v>
      </c>
      <c r="D3473" s="7" t="s">
        <v>2584</v>
      </c>
      <c r="E3473" s="7" t="str">
        <f>"张小玲"</f>
        <v>张小玲</v>
      </c>
      <c r="F3473" s="7" t="str">
        <f t="shared" si="766"/>
        <v>女</v>
      </c>
      <c r="G3473" s="7" t="s">
        <v>2863</v>
      </c>
      <c r="H3473" s="8"/>
    </row>
    <row r="3474" ht="25" customHeight="1" spans="1:8">
      <c r="A3474" s="6">
        <v>3472</v>
      </c>
      <c r="B3474" s="7" t="str">
        <f t="shared" si="767"/>
        <v>305</v>
      </c>
      <c r="C3474" s="7" t="s">
        <v>2862</v>
      </c>
      <c r="D3474" s="7" t="s">
        <v>2584</v>
      </c>
      <c r="E3474" s="7" t="str">
        <f>"麦璐璐"</f>
        <v>麦璐璐</v>
      </c>
      <c r="F3474" s="7" t="str">
        <f t="shared" si="766"/>
        <v>女</v>
      </c>
      <c r="G3474" s="7" t="s">
        <v>2864</v>
      </c>
      <c r="H3474" s="8"/>
    </row>
    <row r="3475" ht="25" customHeight="1" spans="1:8">
      <c r="A3475" s="6">
        <v>3473</v>
      </c>
      <c r="B3475" s="7" t="str">
        <f t="shared" si="767"/>
        <v>305</v>
      </c>
      <c r="C3475" s="7" t="s">
        <v>2862</v>
      </c>
      <c r="D3475" s="7" t="s">
        <v>2584</v>
      </c>
      <c r="E3475" s="7" t="str">
        <f>"廖容容"</f>
        <v>廖容容</v>
      </c>
      <c r="F3475" s="7" t="str">
        <f t="shared" si="766"/>
        <v>女</v>
      </c>
      <c r="G3475" s="7" t="s">
        <v>2865</v>
      </c>
      <c r="H3475" s="8"/>
    </row>
    <row r="3476" ht="25" customHeight="1" spans="1:8">
      <c r="A3476" s="6">
        <v>3474</v>
      </c>
      <c r="B3476" s="7" t="str">
        <f t="shared" si="767"/>
        <v>305</v>
      </c>
      <c r="C3476" s="7" t="s">
        <v>2862</v>
      </c>
      <c r="D3476" s="7" t="s">
        <v>2584</v>
      </c>
      <c r="E3476" s="7" t="str">
        <f>"章欣"</f>
        <v>章欣</v>
      </c>
      <c r="F3476" s="7" t="str">
        <f t="shared" si="766"/>
        <v>女</v>
      </c>
      <c r="G3476" s="7" t="s">
        <v>1752</v>
      </c>
      <c r="H3476" s="8"/>
    </row>
    <row r="3477" ht="25" customHeight="1" spans="1:8">
      <c r="A3477" s="6">
        <v>3475</v>
      </c>
      <c r="B3477" s="7" t="str">
        <f t="shared" si="767"/>
        <v>305</v>
      </c>
      <c r="C3477" s="7" t="s">
        <v>2862</v>
      </c>
      <c r="D3477" s="7" t="s">
        <v>2584</v>
      </c>
      <c r="E3477" s="7" t="str">
        <f>"何桂玉"</f>
        <v>何桂玉</v>
      </c>
      <c r="F3477" s="7" t="str">
        <f t="shared" si="766"/>
        <v>女</v>
      </c>
      <c r="G3477" s="7" t="s">
        <v>2866</v>
      </c>
      <c r="H3477" s="8"/>
    </row>
    <row r="3478" ht="25" customHeight="1" spans="1:8">
      <c r="A3478" s="6">
        <v>3476</v>
      </c>
      <c r="B3478" s="7" t="str">
        <f t="shared" si="767"/>
        <v>305</v>
      </c>
      <c r="C3478" s="7" t="s">
        <v>2862</v>
      </c>
      <c r="D3478" s="7" t="s">
        <v>2584</v>
      </c>
      <c r="E3478" s="7" t="str">
        <f>"王泽晨"</f>
        <v>王泽晨</v>
      </c>
      <c r="F3478" s="7" t="str">
        <f>"男"</f>
        <v>男</v>
      </c>
      <c r="G3478" s="7" t="s">
        <v>2867</v>
      </c>
      <c r="H3478" s="8"/>
    </row>
    <row r="3479" ht="25" customHeight="1" spans="1:8">
      <c r="A3479" s="6">
        <v>3477</v>
      </c>
      <c r="B3479" s="7" t="str">
        <f t="shared" si="767"/>
        <v>305</v>
      </c>
      <c r="C3479" s="7" t="s">
        <v>2862</v>
      </c>
      <c r="D3479" s="7" t="s">
        <v>2584</v>
      </c>
      <c r="E3479" s="7" t="str">
        <f>"曾惠"</f>
        <v>曾惠</v>
      </c>
      <c r="F3479" s="7" t="str">
        <f t="shared" ref="F3479:F3484" si="768">"女"</f>
        <v>女</v>
      </c>
      <c r="G3479" s="7" t="s">
        <v>1290</v>
      </c>
      <c r="H3479" s="8"/>
    </row>
    <row r="3480" ht="25" customHeight="1" spans="1:8">
      <c r="A3480" s="6">
        <v>3478</v>
      </c>
      <c r="B3480" s="7" t="str">
        <f t="shared" si="767"/>
        <v>305</v>
      </c>
      <c r="C3480" s="7" t="s">
        <v>2862</v>
      </c>
      <c r="D3480" s="7" t="s">
        <v>2584</v>
      </c>
      <c r="E3480" s="7" t="str">
        <f>"王滋健"</f>
        <v>王滋健</v>
      </c>
      <c r="F3480" s="7" t="str">
        <f>"男"</f>
        <v>男</v>
      </c>
      <c r="G3480" s="7" t="s">
        <v>2868</v>
      </c>
      <c r="H3480" s="8"/>
    </row>
    <row r="3481" ht="25" customHeight="1" spans="1:8">
      <c r="A3481" s="6">
        <v>3479</v>
      </c>
      <c r="B3481" s="7" t="str">
        <f t="shared" si="767"/>
        <v>305</v>
      </c>
      <c r="C3481" s="7" t="s">
        <v>2862</v>
      </c>
      <c r="D3481" s="7" t="s">
        <v>2584</v>
      </c>
      <c r="E3481" s="7" t="str">
        <f>"黄书蕾"</f>
        <v>黄书蕾</v>
      </c>
      <c r="F3481" s="7" t="str">
        <f t="shared" si="768"/>
        <v>女</v>
      </c>
      <c r="G3481" s="7" t="s">
        <v>2869</v>
      </c>
      <c r="H3481" s="8"/>
    </row>
    <row r="3482" ht="25" customHeight="1" spans="1:8">
      <c r="A3482" s="6">
        <v>3480</v>
      </c>
      <c r="B3482" s="7" t="str">
        <f t="shared" si="767"/>
        <v>305</v>
      </c>
      <c r="C3482" s="7" t="s">
        <v>2862</v>
      </c>
      <c r="D3482" s="7" t="s">
        <v>2584</v>
      </c>
      <c r="E3482" s="7" t="str">
        <f>"赖冰如"</f>
        <v>赖冰如</v>
      </c>
      <c r="F3482" s="7" t="str">
        <f t="shared" si="768"/>
        <v>女</v>
      </c>
      <c r="G3482" s="7" t="s">
        <v>190</v>
      </c>
      <c r="H3482" s="8"/>
    </row>
    <row r="3483" ht="25" customHeight="1" spans="1:8">
      <c r="A3483" s="6">
        <v>3481</v>
      </c>
      <c r="B3483" s="7" t="str">
        <f t="shared" si="767"/>
        <v>305</v>
      </c>
      <c r="C3483" s="7" t="s">
        <v>2862</v>
      </c>
      <c r="D3483" s="7" t="s">
        <v>2584</v>
      </c>
      <c r="E3483" s="7" t="str">
        <f>"傅伶俐"</f>
        <v>傅伶俐</v>
      </c>
      <c r="F3483" s="7" t="str">
        <f t="shared" si="768"/>
        <v>女</v>
      </c>
      <c r="G3483" s="7" t="s">
        <v>2834</v>
      </c>
      <c r="H3483" s="8"/>
    </row>
    <row r="3484" ht="25" customHeight="1" spans="1:8">
      <c r="A3484" s="6">
        <v>3482</v>
      </c>
      <c r="B3484" s="7" t="str">
        <f t="shared" si="767"/>
        <v>305</v>
      </c>
      <c r="C3484" s="7" t="s">
        <v>2862</v>
      </c>
      <c r="D3484" s="7" t="s">
        <v>2584</v>
      </c>
      <c r="E3484" s="7" t="str">
        <f>"伍花"</f>
        <v>伍花</v>
      </c>
      <c r="F3484" s="7" t="str">
        <f t="shared" si="768"/>
        <v>女</v>
      </c>
      <c r="G3484" s="7" t="s">
        <v>1057</v>
      </c>
      <c r="H3484" s="8"/>
    </row>
    <row r="3485" ht="25" customHeight="1" spans="1:8">
      <c r="A3485" s="6">
        <v>3483</v>
      </c>
      <c r="B3485" s="7" t="str">
        <f t="shared" si="767"/>
        <v>305</v>
      </c>
      <c r="C3485" s="7" t="s">
        <v>2862</v>
      </c>
      <c r="D3485" s="7" t="s">
        <v>2584</v>
      </c>
      <c r="E3485" s="7" t="str">
        <f>"陈翌萱"</f>
        <v>陈翌萱</v>
      </c>
      <c r="F3485" s="7" t="str">
        <f>"男"</f>
        <v>男</v>
      </c>
      <c r="G3485" s="7" t="s">
        <v>2870</v>
      </c>
      <c r="H3485" s="8"/>
    </row>
    <row r="3486" ht="25" customHeight="1" spans="1:8">
      <c r="A3486" s="6">
        <v>3484</v>
      </c>
      <c r="B3486" s="7" t="str">
        <f t="shared" si="767"/>
        <v>305</v>
      </c>
      <c r="C3486" s="7" t="s">
        <v>2862</v>
      </c>
      <c r="D3486" s="7" t="s">
        <v>2584</v>
      </c>
      <c r="E3486" s="7" t="str">
        <f>"孙秀英"</f>
        <v>孙秀英</v>
      </c>
      <c r="F3486" s="7" t="str">
        <f t="shared" ref="F3486:F3493" si="769">"女"</f>
        <v>女</v>
      </c>
      <c r="G3486" s="7" t="s">
        <v>2871</v>
      </c>
      <c r="H3486" s="8"/>
    </row>
    <row r="3487" ht="25" customHeight="1" spans="1:8">
      <c r="A3487" s="6">
        <v>3485</v>
      </c>
      <c r="B3487" s="7" t="str">
        <f t="shared" si="767"/>
        <v>305</v>
      </c>
      <c r="C3487" s="7" t="s">
        <v>2862</v>
      </c>
      <c r="D3487" s="7" t="s">
        <v>2584</v>
      </c>
      <c r="E3487" s="7" t="str">
        <f>"张洋"</f>
        <v>张洋</v>
      </c>
      <c r="F3487" s="7" t="str">
        <f t="shared" si="769"/>
        <v>女</v>
      </c>
      <c r="G3487" s="7" t="s">
        <v>2872</v>
      </c>
      <c r="H3487" s="8"/>
    </row>
    <row r="3488" ht="25" customHeight="1" spans="1:8">
      <c r="A3488" s="6">
        <v>3486</v>
      </c>
      <c r="B3488" s="7" t="str">
        <f t="shared" si="767"/>
        <v>305</v>
      </c>
      <c r="C3488" s="7" t="s">
        <v>2862</v>
      </c>
      <c r="D3488" s="7" t="s">
        <v>2584</v>
      </c>
      <c r="E3488" s="7" t="str">
        <f>"金春红"</f>
        <v>金春红</v>
      </c>
      <c r="F3488" s="7" t="str">
        <f t="shared" si="769"/>
        <v>女</v>
      </c>
      <c r="G3488" s="7" t="s">
        <v>2032</v>
      </c>
      <c r="H3488" s="8"/>
    </row>
    <row r="3489" ht="25" customHeight="1" spans="1:8">
      <c r="A3489" s="6">
        <v>3487</v>
      </c>
      <c r="B3489" s="7" t="str">
        <f t="shared" si="767"/>
        <v>305</v>
      </c>
      <c r="C3489" s="7" t="s">
        <v>2862</v>
      </c>
      <c r="D3489" s="7" t="s">
        <v>2584</v>
      </c>
      <c r="E3489" s="7" t="str">
        <f>"顾红"</f>
        <v>顾红</v>
      </c>
      <c r="F3489" s="7" t="str">
        <f t="shared" si="769"/>
        <v>女</v>
      </c>
      <c r="G3489" s="7" t="s">
        <v>2873</v>
      </c>
      <c r="H3489" s="8"/>
    </row>
    <row r="3490" ht="25" customHeight="1" spans="1:8">
      <c r="A3490" s="6">
        <v>3488</v>
      </c>
      <c r="B3490" s="7" t="str">
        <f t="shared" si="767"/>
        <v>305</v>
      </c>
      <c r="C3490" s="7" t="s">
        <v>2862</v>
      </c>
      <c r="D3490" s="7" t="s">
        <v>2584</v>
      </c>
      <c r="E3490" s="7" t="str">
        <f>"黄日婷"</f>
        <v>黄日婷</v>
      </c>
      <c r="F3490" s="7" t="str">
        <f t="shared" si="769"/>
        <v>女</v>
      </c>
      <c r="G3490" s="7" t="s">
        <v>2874</v>
      </c>
      <c r="H3490" s="8"/>
    </row>
    <row r="3491" ht="25" customHeight="1" spans="1:8">
      <c r="A3491" s="6">
        <v>3489</v>
      </c>
      <c r="B3491" s="7" t="str">
        <f t="shared" si="767"/>
        <v>305</v>
      </c>
      <c r="C3491" s="7" t="s">
        <v>2862</v>
      </c>
      <c r="D3491" s="7" t="s">
        <v>2584</v>
      </c>
      <c r="E3491" s="7" t="str">
        <f>"王丽"</f>
        <v>王丽</v>
      </c>
      <c r="F3491" s="7" t="str">
        <f t="shared" si="769"/>
        <v>女</v>
      </c>
      <c r="G3491" s="7" t="s">
        <v>2875</v>
      </c>
      <c r="H3491" s="8"/>
    </row>
    <row r="3492" ht="25" customHeight="1" spans="1:8">
      <c r="A3492" s="6">
        <v>3490</v>
      </c>
      <c r="B3492" s="7" t="str">
        <f t="shared" si="767"/>
        <v>305</v>
      </c>
      <c r="C3492" s="7" t="s">
        <v>2862</v>
      </c>
      <c r="D3492" s="7" t="s">
        <v>2584</v>
      </c>
      <c r="E3492" s="7" t="str">
        <f>"王芸"</f>
        <v>王芸</v>
      </c>
      <c r="F3492" s="7" t="str">
        <f t="shared" si="769"/>
        <v>女</v>
      </c>
      <c r="G3492" s="7" t="s">
        <v>1674</v>
      </c>
      <c r="H3492" s="8"/>
    </row>
    <row r="3493" ht="25" customHeight="1" spans="1:8">
      <c r="A3493" s="6">
        <v>3491</v>
      </c>
      <c r="B3493" s="7" t="str">
        <f t="shared" si="767"/>
        <v>305</v>
      </c>
      <c r="C3493" s="7" t="s">
        <v>2862</v>
      </c>
      <c r="D3493" s="7" t="s">
        <v>2584</v>
      </c>
      <c r="E3493" s="7" t="str">
        <f>"符毓芝"</f>
        <v>符毓芝</v>
      </c>
      <c r="F3493" s="7" t="str">
        <f t="shared" si="769"/>
        <v>女</v>
      </c>
      <c r="G3493" s="7" t="s">
        <v>330</v>
      </c>
      <c r="H3493" s="8"/>
    </row>
    <row r="3494" ht="25" customHeight="1" spans="1:8">
      <c r="A3494" s="6">
        <v>3492</v>
      </c>
      <c r="B3494" s="7" t="str">
        <f t="shared" si="767"/>
        <v>305</v>
      </c>
      <c r="C3494" s="7" t="s">
        <v>2862</v>
      </c>
      <c r="D3494" s="7" t="s">
        <v>2584</v>
      </c>
      <c r="E3494" s="7" t="str">
        <f>"邢浩"</f>
        <v>邢浩</v>
      </c>
      <c r="F3494" s="7" t="str">
        <f>"男"</f>
        <v>男</v>
      </c>
      <c r="G3494" s="7" t="s">
        <v>2876</v>
      </c>
      <c r="H3494" s="8"/>
    </row>
    <row r="3495" ht="25" customHeight="1" spans="1:8">
      <c r="A3495" s="6">
        <v>3493</v>
      </c>
      <c r="B3495" s="7" t="str">
        <f t="shared" si="767"/>
        <v>305</v>
      </c>
      <c r="C3495" s="7" t="s">
        <v>2862</v>
      </c>
      <c r="D3495" s="7" t="s">
        <v>2584</v>
      </c>
      <c r="E3495" s="7" t="str">
        <f>"莫翠妃"</f>
        <v>莫翠妃</v>
      </c>
      <c r="F3495" s="7" t="str">
        <f t="shared" ref="F3495:F3506" si="770">"女"</f>
        <v>女</v>
      </c>
      <c r="G3495" s="7" t="s">
        <v>2877</v>
      </c>
      <c r="H3495" s="8"/>
    </row>
    <row r="3496" ht="25" customHeight="1" spans="1:8">
      <c r="A3496" s="6">
        <v>3494</v>
      </c>
      <c r="B3496" s="7" t="str">
        <f t="shared" si="767"/>
        <v>305</v>
      </c>
      <c r="C3496" s="7" t="s">
        <v>2862</v>
      </c>
      <c r="D3496" s="7" t="s">
        <v>2584</v>
      </c>
      <c r="E3496" s="7" t="str">
        <f>"许秋缘"</f>
        <v>许秋缘</v>
      </c>
      <c r="F3496" s="7" t="str">
        <f t="shared" si="770"/>
        <v>女</v>
      </c>
      <c r="G3496" s="7" t="s">
        <v>684</v>
      </c>
      <c r="H3496" s="8"/>
    </row>
    <row r="3497" ht="25" customHeight="1" spans="1:8">
      <c r="A3497" s="6">
        <v>3495</v>
      </c>
      <c r="B3497" s="7" t="str">
        <f t="shared" si="767"/>
        <v>305</v>
      </c>
      <c r="C3497" s="7" t="s">
        <v>2862</v>
      </c>
      <c r="D3497" s="7" t="s">
        <v>2584</v>
      </c>
      <c r="E3497" s="7" t="str">
        <f>"周日海"</f>
        <v>周日海</v>
      </c>
      <c r="F3497" s="7" t="str">
        <f>"男"</f>
        <v>男</v>
      </c>
      <c r="G3497" s="7" t="s">
        <v>2878</v>
      </c>
      <c r="H3497" s="8"/>
    </row>
    <row r="3498" ht="25" customHeight="1" spans="1:8">
      <c r="A3498" s="6">
        <v>3496</v>
      </c>
      <c r="B3498" s="7" t="str">
        <f t="shared" si="767"/>
        <v>305</v>
      </c>
      <c r="C3498" s="7" t="s">
        <v>2862</v>
      </c>
      <c r="D3498" s="7" t="s">
        <v>2584</v>
      </c>
      <c r="E3498" s="7" t="str">
        <f>"唐琳"</f>
        <v>唐琳</v>
      </c>
      <c r="F3498" s="7" t="str">
        <f t="shared" si="770"/>
        <v>女</v>
      </c>
      <c r="G3498" s="7" t="s">
        <v>2879</v>
      </c>
      <c r="H3498" s="8"/>
    </row>
    <row r="3499" ht="25" customHeight="1" spans="1:8">
      <c r="A3499" s="6">
        <v>3497</v>
      </c>
      <c r="B3499" s="7" t="str">
        <f t="shared" si="767"/>
        <v>305</v>
      </c>
      <c r="C3499" s="7" t="s">
        <v>2862</v>
      </c>
      <c r="D3499" s="7" t="s">
        <v>2584</v>
      </c>
      <c r="E3499" s="7" t="str">
        <f>"陈彩翠"</f>
        <v>陈彩翠</v>
      </c>
      <c r="F3499" s="7" t="str">
        <f t="shared" si="770"/>
        <v>女</v>
      </c>
      <c r="G3499" s="7" t="s">
        <v>2880</v>
      </c>
      <c r="H3499" s="8"/>
    </row>
    <row r="3500" ht="25" customHeight="1" spans="1:8">
      <c r="A3500" s="6">
        <v>3498</v>
      </c>
      <c r="B3500" s="7" t="str">
        <f t="shared" si="767"/>
        <v>305</v>
      </c>
      <c r="C3500" s="7" t="s">
        <v>2862</v>
      </c>
      <c r="D3500" s="7" t="s">
        <v>2584</v>
      </c>
      <c r="E3500" s="7" t="str">
        <f>"杨日秀"</f>
        <v>杨日秀</v>
      </c>
      <c r="F3500" s="7" t="str">
        <f t="shared" si="770"/>
        <v>女</v>
      </c>
      <c r="G3500" s="7" t="s">
        <v>2881</v>
      </c>
      <c r="H3500" s="8"/>
    </row>
    <row r="3501" ht="25" customHeight="1" spans="1:8">
      <c r="A3501" s="6">
        <v>3499</v>
      </c>
      <c r="B3501" s="7" t="str">
        <f t="shared" si="767"/>
        <v>305</v>
      </c>
      <c r="C3501" s="7" t="s">
        <v>2862</v>
      </c>
      <c r="D3501" s="7" t="s">
        <v>2584</v>
      </c>
      <c r="E3501" s="7" t="str">
        <f>"唐国教"</f>
        <v>唐国教</v>
      </c>
      <c r="F3501" s="7" t="str">
        <f t="shared" si="770"/>
        <v>女</v>
      </c>
      <c r="G3501" s="7" t="s">
        <v>2882</v>
      </c>
      <c r="H3501" s="8"/>
    </row>
    <row r="3502" ht="25" customHeight="1" spans="1:8">
      <c r="A3502" s="6">
        <v>3500</v>
      </c>
      <c r="B3502" s="7" t="str">
        <f t="shared" si="767"/>
        <v>305</v>
      </c>
      <c r="C3502" s="7" t="s">
        <v>2862</v>
      </c>
      <c r="D3502" s="7" t="s">
        <v>2584</v>
      </c>
      <c r="E3502" s="7" t="str">
        <f>"吴英菊"</f>
        <v>吴英菊</v>
      </c>
      <c r="F3502" s="7" t="str">
        <f t="shared" si="770"/>
        <v>女</v>
      </c>
      <c r="G3502" s="7" t="s">
        <v>2883</v>
      </c>
      <c r="H3502" s="8"/>
    </row>
    <row r="3503" ht="25" customHeight="1" spans="1:8">
      <c r="A3503" s="6">
        <v>3501</v>
      </c>
      <c r="B3503" s="7" t="str">
        <f t="shared" si="767"/>
        <v>305</v>
      </c>
      <c r="C3503" s="7" t="s">
        <v>2862</v>
      </c>
      <c r="D3503" s="7" t="s">
        <v>2584</v>
      </c>
      <c r="E3503" s="7" t="str">
        <f>"王娜"</f>
        <v>王娜</v>
      </c>
      <c r="F3503" s="7" t="str">
        <f t="shared" si="770"/>
        <v>女</v>
      </c>
      <c r="G3503" s="7" t="s">
        <v>46</v>
      </c>
      <c r="H3503" s="8"/>
    </row>
    <row r="3504" ht="25" customHeight="1" spans="1:8">
      <c r="A3504" s="6">
        <v>3502</v>
      </c>
      <c r="B3504" s="7" t="str">
        <f t="shared" si="767"/>
        <v>305</v>
      </c>
      <c r="C3504" s="7" t="s">
        <v>2862</v>
      </c>
      <c r="D3504" s="7" t="s">
        <v>2584</v>
      </c>
      <c r="E3504" s="7" t="str">
        <f>"韦文彦"</f>
        <v>韦文彦</v>
      </c>
      <c r="F3504" s="7" t="str">
        <f t="shared" si="770"/>
        <v>女</v>
      </c>
      <c r="G3504" s="7" t="s">
        <v>660</v>
      </c>
      <c r="H3504" s="8"/>
    </row>
    <row r="3505" ht="25" customHeight="1" spans="1:8">
      <c r="A3505" s="6">
        <v>3503</v>
      </c>
      <c r="B3505" s="7" t="str">
        <f t="shared" si="767"/>
        <v>305</v>
      </c>
      <c r="C3505" s="7" t="s">
        <v>2862</v>
      </c>
      <c r="D3505" s="7" t="s">
        <v>2584</v>
      </c>
      <c r="E3505" s="7" t="str">
        <f>"兰丽丽"</f>
        <v>兰丽丽</v>
      </c>
      <c r="F3505" s="7" t="str">
        <f t="shared" si="770"/>
        <v>女</v>
      </c>
      <c r="G3505" s="7" t="s">
        <v>2884</v>
      </c>
      <c r="H3505" s="8"/>
    </row>
    <row r="3506" ht="25" customHeight="1" spans="1:8">
      <c r="A3506" s="6">
        <v>3504</v>
      </c>
      <c r="B3506" s="7" t="str">
        <f t="shared" si="767"/>
        <v>305</v>
      </c>
      <c r="C3506" s="7" t="s">
        <v>2862</v>
      </c>
      <c r="D3506" s="7" t="s">
        <v>2584</v>
      </c>
      <c r="E3506" s="7" t="str">
        <f>"桂新颖"</f>
        <v>桂新颖</v>
      </c>
      <c r="F3506" s="7" t="str">
        <f t="shared" si="770"/>
        <v>女</v>
      </c>
      <c r="G3506" s="7" t="s">
        <v>2885</v>
      </c>
      <c r="H3506" s="8"/>
    </row>
    <row r="3507" ht="25" customHeight="1" spans="1:8">
      <c r="A3507" s="6">
        <v>3505</v>
      </c>
      <c r="B3507" s="7" t="str">
        <f t="shared" si="767"/>
        <v>305</v>
      </c>
      <c r="C3507" s="7" t="s">
        <v>2862</v>
      </c>
      <c r="D3507" s="7" t="s">
        <v>2584</v>
      </c>
      <c r="E3507" s="7" t="str">
        <f>"唐金鑫"</f>
        <v>唐金鑫</v>
      </c>
      <c r="F3507" s="7" t="str">
        <f>"男"</f>
        <v>男</v>
      </c>
      <c r="G3507" s="7" t="s">
        <v>718</v>
      </c>
      <c r="H3507" s="8"/>
    </row>
    <row r="3508" ht="25" customHeight="1" spans="1:8">
      <c r="A3508" s="6">
        <v>3506</v>
      </c>
      <c r="B3508" s="7" t="str">
        <f t="shared" si="767"/>
        <v>305</v>
      </c>
      <c r="C3508" s="7" t="s">
        <v>2862</v>
      </c>
      <c r="D3508" s="7" t="s">
        <v>2584</v>
      </c>
      <c r="E3508" s="7" t="str">
        <f>"郭怡琳"</f>
        <v>郭怡琳</v>
      </c>
      <c r="F3508" s="7" t="str">
        <f t="shared" ref="F3508:F3513" si="771">"女"</f>
        <v>女</v>
      </c>
      <c r="G3508" s="7" t="s">
        <v>2886</v>
      </c>
      <c r="H3508" s="8"/>
    </row>
    <row r="3509" ht="25" customHeight="1" spans="1:8">
      <c r="A3509" s="6">
        <v>3507</v>
      </c>
      <c r="B3509" s="7" t="str">
        <f t="shared" si="767"/>
        <v>305</v>
      </c>
      <c r="C3509" s="7" t="s">
        <v>2862</v>
      </c>
      <c r="D3509" s="7" t="s">
        <v>2584</v>
      </c>
      <c r="E3509" s="7" t="str">
        <f>"王雅游"</f>
        <v>王雅游</v>
      </c>
      <c r="F3509" s="7" t="str">
        <f t="shared" si="771"/>
        <v>女</v>
      </c>
      <c r="G3509" s="7" t="s">
        <v>2887</v>
      </c>
      <c r="H3509" s="8"/>
    </row>
    <row r="3510" ht="25" customHeight="1" spans="1:8">
      <c r="A3510" s="6">
        <v>3508</v>
      </c>
      <c r="B3510" s="7" t="str">
        <f t="shared" si="767"/>
        <v>305</v>
      </c>
      <c r="C3510" s="7" t="s">
        <v>2862</v>
      </c>
      <c r="D3510" s="7" t="s">
        <v>2584</v>
      </c>
      <c r="E3510" s="7" t="str">
        <f>"李音雅"</f>
        <v>李音雅</v>
      </c>
      <c r="F3510" s="7" t="str">
        <f t="shared" si="771"/>
        <v>女</v>
      </c>
      <c r="G3510" s="7" t="s">
        <v>2888</v>
      </c>
      <c r="H3510" s="8"/>
    </row>
    <row r="3511" ht="25" customHeight="1" spans="1:8">
      <c r="A3511" s="6">
        <v>3509</v>
      </c>
      <c r="B3511" s="7" t="str">
        <f t="shared" si="767"/>
        <v>305</v>
      </c>
      <c r="C3511" s="7" t="s">
        <v>2862</v>
      </c>
      <c r="D3511" s="7" t="s">
        <v>2584</v>
      </c>
      <c r="E3511" s="7" t="str">
        <f>"符星星"</f>
        <v>符星星</v>
      </c>
      <c r="F3511" s="7" t="str">
        <f t="shared" si="771"/>
        <v>女</v>
      </c>
      <c r="G3511" s="7" t="s">
        <v>2889</v>
      </c>
      <c r="H3511" s="8"/>
    </row>
    <row r="3512" ht="25" customHeight="1" spans="1:8">
      <c r="A3512" s="6">
        <v>3510</v>
      </c>
      <c r="B3512" s="7" t="str">
        <f t="shared" si="767"/>
        <v>305</v>
      </c>
      <c r="C3512" s="7" t="s">
        <v>2862</v>
      </c>
      <c r="D3512" s="7" t="s">
        <v>2584</v>
      </c>
      <c r="E3512" s="7" t="str">
        <f>"苏雯"</f>
        <v>苏雯</v>
      </c>
      <c r="F3512" s="7" t="str">
        <f t="shared" si="771"/>
        <v>女</v>
      </c>
      <c r="G3512" s="7" t="s">
        <v>2890</v>
      </c>
      <c r="H3512" s="8"/>
    </row>
    <row r="3513" ht="25" customHeight="1" spans="1:8">
      <c r="A3513" s="6">
        <v>3511</v>
      </c>
      <c r="B3513" s="7" t="str">
        <f t="shared" si="767"/>
        <v>305</v>
      </c>
      <c r="C3513" s="7" t="s">
        <v>2862</v>
      </c>
      <c r="D3513" s="7" t="s">
        <v>2584</v>
      </c>
      <c r="E3513" s="7" t="str">
        <f>"吴科霞"</f>
        <v>吴科霞</v>
      </c>
      <c r="F3513" s="7" t="str">
        <f t="shared" si="771"/>
        <v>女</v>
      </c>
      <c r="G3513" s="7" t="s">
        <v>2891</v>
      </c>
      <c r="H3513" s="8"/>
    </row>
    <row r="3514" ht="25" customHeight="1" spans="1:8">
      <c r="A3514" s="6">
        <v>3512</v>
      </c>
      <c r="B3514" s="7" t="str">
        <f t="shared" si="767"/>
        <v>305</v>
      </c>
      <c r="C3514" s="7" t="s">
        <v>2862</v>
      </c>
      <c r="D3514" s="7" t="s">
        <v>2584</v>
      </c>
      <c r="E3514" s="7" t="str">
        <f>"王盛平"</f>
        <v>王盛平</v>
      </c>
      <c r="F3514" s="7" t="str">
        <f t="shared" ref="F3514:F3517" si="772">"男"</f>
        <v>男</v>
      </c>
      <c r="G3514" s="7" t="s">
        <v>816</v>
      </c>
      <c r="H3514" s="8"/>
    </row>
    <row r="3515" ht="25" customHeight="1" spans="1:8">
      <c r="A3515" s="6">
        <v>3513</v>
      </c>
      <c r="B3515" s="7" t="str">
        <f t="shared" si="767"/>
        <v>305</v>
      </c>
      <c r="C3515" s="7" t="s">
        <v>2862</v>
      </c>
      <c r="D3515" s="7" t="s">
        <v>2584</v>
      </c>
      <c r="E3515" s="7" t="str">
        <f>"李振生"</f>
        <v>李振生</v>
      </c>
      <c r="F3515" s="7" t="str">
        <f t="shared" si="772"/>
        <v>男</v>
      </c>
      <c r="G3515" s="7" t="s">
        <v>1512</v>
      </c>
      <c r="H3515" s="8"/>
    </row>
    <row r="3516" ht="25" customHeight="1" spans="1:8">
      <c r="A3516" s="6">
        <v>3514</v>
      </c>
      <c r="B3516" s="7" t="str">
        <f t="shared" si="767"/>
        <v>305</v>
      </c>
      <c r="C3516" s="7" t="s">
        <v>2862</v>
      </c>
      <c r="D3516" s="7" t="s">
        <v>2584</v>
      </c>
      <c r="E3516" s="7" t="str">
        <f>"张嘉怡"</f>
        <v>张嘉怡</v>
      </c>
      <c r="F3516" s="7" t="str">
        <f t="shared" ref="F3516:F3523" si="773">"女"</f>
        <v>女</v>
      </c>
      <c r="G3516" s="7" t="s">
        <v>2892</v>
      </c>
      <c r="H3516" s="8"/>
    </row>
    <row r="3517" ht="25" customHeight="1" spans="1:8">
      <c r="A3517" s="6">
        <v>3515</v>
      </c>
      <c r="B3517" s="7" t="str">
        <f t="shared" si="767"/>
        <v>305</v>
      </c>
      <c r="C3517" s="7" t="s">
        <v>2862</v>
      </c>
      <c r="D3517" s="7" t="s">
        <v>2584</v>
      </c>
      <c r="E3517" s="7" t="str">
        <f>"邓德壮"</f>
        <v>邓德壮</v>
      </c>
      <c r="F3517" s="7" t="str">
        <f t="shared" si="772"/>
        <v>男</v>
      </c>
      <c r="G3517" s="7" t="s">
        <v>2893</v>
      </c>
      <c r="H3517" s="8"/>
    </row>
    <row r="3518" ht="25" customHeight="1" spans="1:8">
      <c r="A3518" s="6">
        <v>3516</v>
      </c>
      <c r="B3518" s="7" t="str">
        <f t="shared" si="767"/>
        <v>305</v>
      </c>
      <c r="C3518" s="7" t="s">
        <v>2862</v>
      </c>
      <c r="D3518" s="7" t="s">
        <v>2584</v>
      </c>
      <c r="E3518" s="7" t="str">
        <f>"张晓潼"</f>
        <v>张晓潼</v>
      </c>
      <c r="F3518" s="7" t="str">
        <f t="shared" si="773"/>
        <v>女</v>
      </c>
      <c r="G3518" s="7" t="s">
        <v>2894</v>
      </c>
      <c r="H3518" s="8"/>
    </row>
    <row r="3519" ht="25" customHeight="1" spans="1:8">
      <c r="A3519" s="6">
        <v>3517</v>
      </c>
      <c r="B3519" s="7" t="str">
        <f t="shared" si="767"/>
        <v>305</v>
      </c>
      <c r="C3519" s="7" t="s">
        <v>2862</v>
      </c>
      <c r="D3519" s="7" t="s">
        <v>2584</v>
      </c>
      <c r="E3519" s="7" t="str">
        <f>"林芯如"</f>
        <v>林芯如</v>
      </c>
      <c r="F3519" s="7" t="str">
        <f t="shared" si="773"/>
        <v>女</v>
      </c>
      <c r="G3519" s="7" t="s">
        <v>2895</v>
      </c>
      <c r="H3519" s="8"/>
    </row>
    <row r="3520" ht="25" customHeight="1" spans="1:8">
      <c r="A3520" s="6">
        <v>3518</v>
      </c>
      <c r="B3520" s="7" t="str">
        <f t="shared" si="767"/>
        <v>305</v>
      </c>
      <c r="C3520" s="7" t="s">
        <v>2862</v>
      </c>
      <c r="D3520" s="7" t="s">
        <v>2584</v>
      </c>
      <c r="E3520" s="7" t="str">
        <f>"吴桂金"</f>
        <v>吴桂金</v>
      </c>
      <c r="F3520" s="7" t="str">
        <f t="shared" si="773"/>
        <v>女</v>
      </c>
      <c r="G3520" s="7" t="s">
        <v>154</v>
      </c>
      <c r="H3520" s="8"/>
    </row>
    <row r="3521" ht="25" customHeight="1" spans="1:8">
      <c r="A3521" s="6">
        <v>3519</v>
      </c>
      <c r="B3521" s="7" t="str">
        <f t="shared" si="767"/>
        <v>305</v>
      </c>
      <c r="C3521" s="7" t="s">
        <v>2862</v>
      </c>
      <c r="D3521" s="7" t="s">
        <v>2584</v>
      </c>
      <c r="E3521" s="7" t="str">
        <f>"肖芳桃"</f>
        <v>肖芳桃</v>
      </c>
      <c r="F3521" s="7" t="str">
        <f t="shared" si="773"/>
        <v>女</v>
      </c>
      <c r="G3521" s="7" t="s">
        <v>2896</v>
      </c>
      <c r="H3521" s="8"/>
    </row>
    <row r="3522" ht="25" customHeight="1" spans="1:8">
      <c r="A3522" s="6">
        <v>3520</v>
      </c>
      <c r="B3522" s="7" t="str">
        <f t="shared" si="767"/>
        <v>305</v>
      </c>
      <c r="C3522" s="7" t="s">
        <v>2862</v>
      </c>
      <c r="D3522" s="7" t="s">
        <v>2584</v>
      </c>
      <c r="E3522" s="7" t="str">
        <f>"李宗洁"</f>
        <v>李宗洁</v>
      </c>
      <c r="F3522" s="7" t="str">
        <f t="shared" si="773"/>
        <v>女</v>
      </c>
      <c r="G3522" s="7" t="s">
        <v>2897</v>
      </c>
      <c r="H3522" s="8"/>
    </row>
    <row r="3523" ht="25" customHeight="1" spans="1:8">
      <c r="A3523" s="6">
        <v>3521</v>
      </c>
      <c r="B3523" s="7" t="str">
        <f t="shared" si="767"/>
        <v>305</v>
      </c>
      <c r="C3523" s="7" t="s">
        <v>2862</v>
      </c>
      <c r="D3523" s="7" t="s">
        <v>2584</v>
      </c>
      <c r="E3523" s="7" t="str">
        <f>"韩巧缘"</f>
        <v>韩巧缘</v>
      </c>
      <c r="F3523" s="7" t="str">
        <f t="shared" si="773"/>
        <v>女</v>
      </c>
      <c r="G3523" s="7" t="s">
        <v>2898</v>
      </c>
      <c r="H3523" s="8"/>
    </row>
    <row r="3524" ht="25" customHeight="1" spans="1:8">
      <c r="A3524" s="6">
        <v>3522</v>
      </c>
      <c r="B3524" s="7" t="str">
        <f t="shared" si="767"/>
        <v>305</v>
      </c>
      <c r="C3524" s="7" t="s">
        <v>2862</v>
      </c>
      <c r="D3524" s="7" t="s">
        <v>2584</v>
      </c>
      <c r="E3524" s="7" t="str">
        <f>"张圣年"</f>
        <v>张圣年</v>
      </c>
      <c r="F3524" s="7" t="str">
        <f>"男"</f>
        <v>男</v>
      </c>
      <c r="G3524" s="7" t="s">
        <v>2899</v>
      </c>
      <c r="H3524" s="8"/>
    </row>
    <row r="3525" ht="25" customHeight="1" spans="1:8">
      <c r="A3525" s="6">
        <v>3523</v>
      </c>
      <c r="B3525" s="7" t="str">
        <f t="shared" si="767"/>
        <v>305</v>
      </c>
      <c r="C3525" s="7" t="s">
        <v>2862</v>
      </c>
      <c r="D3525" s="7" t="s">
        <v>2584</v>
      </c>
      <c r="E3525" s="7" t="str">
        <f>"李秀美"</f>
        <v>李秀美</v>
      </c>
      <c r="F3525" s="7" t="str">
        <f t="shared" ref="F3525:F3527" si="774">"女"</f>
        <v>女</v>
      </c>
      <c r="G3525" s="7" t="s">
        <v>2900</v>
      </c>
      <c r="H3525" s="8"/>
    </row>
    <row r="3526" ht="25" customHeight="1" spans="1:8">
      <c r="A3526" s="6">
        <v>3524</v>
      </c>
      <c r="B3526" s="7" t="str">
        <f t="shared" si="767"/>
        <v>305</v>
      </c>
      <c r="C3526" s="7" t="s">
        <v>2862</v>
      </c>
      <c r="D3526" s="7" t="s">
        <v>2584</v>
      </c>
      <c r="E3526" s="7" t="str">
        <f>"陈琼瓜"</f>
        <v>陈琼瓜</v>
      </c>
      <c r="F3526" s="7" t="str">
        <f t="shared" si="774"/>
        <v>女</v>
      </c>
      <c r="G3526" s="7" t="s">
        <v>1130</v>
      </c>
      <c r="H3526" s="8"/>
    </row>
    <row r="3527" ht="25" customHeight="1" spans="1:8">
      <c r="A3527" s="6">
        <v>3525</v>
      </c>
      <c r="B3527" s="7" t="str">
        <f t="shared" si="767"/>
        <v>305</v>
      </c>
      <c r="C3527" s="7" t="s">
        <v>2862</v>
      </c>
      <c r="D3527" s="7" t="s">
        <v>2584</v>
      </c>
      <c r="E3527" s="7" t="str">
        <f>"邹辉"</f>
        <v>邹辉</v>
      </c>
      <c r="F3527" s="7" t="str">
        <f t="shared" si="774"/>
        <v>女</v>
      </c>
      <c r="G3527" s="7" t="s">
        <v>2901</v>
      </c>
      <c r="H3527" s="8"/>
    </row>
    <row r="3528" ht="25" customHeight="1" spans="1:8">
      <c r="A3528" s="6">
        <v>3526</v>
      </c>
      <c r="B3528" s="7" t="str">
        <f t="shared" si="767"/>
        <v>305</v>
      </c>
      <c r="C3528" s="7" t="s">
        <v>2862</v>
      </c>
      <c r="D3528" s="7" t="s">
        <v>2584</v>
      </c>
      <c r="E3528" s="7" t="str">
        <f>"麦名煌"</f>
        <v>麦名煌</v>
      </c>
      <c r="F3528" s="7" t="str">
        <f>"男"</f>
        <v>男</v>
      </c>
      <c r="G3528" s="7" t="s">
        <v>2902</v>
      </c>
      <c r="H3528" s="8"/>
    </row>
    <row r="3529" ht="25" customHeight="1" spans="1:8">
      <c r="A3529" s="6">
        <v>3527</v>
      </c>
      <c r="B3529" s="7" t="str">
        <f t="shared" si="767"/>
        <v>305</v>
      </c>
      <c r="C3529" s="7" t="s">
        <v>2862</v>
      </c>
      <c r="D3529" s="7" t="s">
        <v>2584</v>
      </c>
      <c r="E3529" s="7" t="str">
        <f>"文利雅"</f>
        <v>文利雅</v>
      </c>
      <c r="F3529" s="7" t="str">
        <f t="shared" ref="F3529:F3540" si="775">"女"</f>
        <v>女</v>
      </c>
      <c r="G3529" s="7" t="s">
        <v>626</v>
      </c>
      <c r="H3529" s="8"/>
    </row>
    <row r="3530" ht="25" customHeight="1" spans="1:8">
      <c r="A3530" s="6">
        <v>3528</v>
      </c>
      <c r="B3530" s="7" t="str">
        <f t="shared" si="767"/>
        <v>305</v>
      </c>
      <c r="C3530" s="7" t="s">
        <v>2862</v>
      </c>
      <c r="D3530" s="7" t="s">
        <v>2584</v>
      </c>
      <c r="E3530" s="7" t="str">
        <f>"颜友曼"</f>
        <v>颜友曼</v>
      </c>
      <c r="F3530" s="7" t="str">
        <f t="shared" si="775"/>
        <v>女</v>
      </c>
      <c r="G3530" s="7" t="s">
        <v>2903</v>
      </c>
      <c r="H3530" s="8"/>
    </row>
    <row r="3531" ht="25" customHeight="1" spans="1:8">
      <c r="A3531" s="6">
        <v>3529</v>
      </c>
      <c r="B3531" s="7" t="str">
        <f t="shared" si="767"/>
        <v>305</v>
      </c>
      <c r="C3531" s="7" t="s">
        <v>2862</v>
      </c>
      <c r="D3531" s="7" t="s">
        <v>2584</v>
      </c>
      <c r="E3531" s="7" t="str">
        <f>"许春婵"</f>
        <v>许春婵</v>
      </c>
      <c r="F3531" s="7" t="str">
        <f t="shared" si="775"/>
        <v>女</v>
      </c>
      <c r="G3531" s="7" t="s">
        <v>2904</v>
      </c>
      <c r="H3531" s="8"/>
    </row>
    <row r="3532" ht="25" customHeight="1" spans="1:8">
      <c r="A3532" s="6">
        <v>3530</v>
      </c>
      <c r="B3532" s="7" t="str">
        <f t="shared" si="767"/>
        <v>305</v>
      </c>
      <c r="C3532" s="7" t="s">
        <v>2862</v>
      </c>
      <c r="D3532" s="7" t="s">
        <v>2584</v>
      </c>
      <c r="E3532" s="7" t="str">
        <f>"陈东霞"</f>
        <v>陈东霞</v>
      </c>
      <c r="F3532" s="7" t="str">
        <f t="shared" si="775"/>
        <v>女</v>
      </c>
      <c r="G3532" s="7" t="s">
        <v>2905</v>
      </c>
      <c r="H3532" s="8"/>
    </row>
    <row r="3533" ht="25" customHeight="1" spans="1:8">
      <c r="A3533" s="6">
        <v>3531</v>
      </c>
      <c r="B3533" s="7" t="str">
        <f t="shared" si="767"/>
        <v>305</v>
      </c>
      <c r="C3533" s="7" t="s">
        <v>2862</v>
      </c>
      <c r="D3533" s="7" t="s">
        <v>2584</v>
      </c>
      <c r="E3533" s="7" t="str">
        <f>"李月春"</f>
        <v>李月春</v>
      </c>
      <c r="F3533" s="7" t="str">
        <f t="shared" si="775"/>
        <v>女</v>
      </c>
      <c r="G3533" s="7" t="s">
        <v>2906</v>
      </c>
      <c r="H3533" s="8"/>
    </row>
    <row r="3534" ht="25" customHeight="1" spans="1:8">
      <c r="A3534" s="6">
        <v>3532</v>
      </c>
      <c r="B3534" s="7" t="str">
        <f t="shared" si="767"/>
        <v>305</v>
      </c>
      <c r="C3534" s="7" t="s">
        <v>2862</v>
      </c>
      <c r="D3534" s="7" t="s">
        <v>2584</v>
      </c>
      <c r="E3534" s="7" t="str">
        <f>"陈艺"</f>
        <v>陈艺</v>
      </c>
      <c r="F3534" s="7" t="str">
        <f t="shared" si="775"/>
        <v>女</v>
      </c>
      <c r="G3534" s="7" t="s">
        <v>2907</v>
      </c>
      <c r="H3534" s="8"/>
    </row>
    <row r="3535" ht="25" customHeight="1" spans="1:8">
      <c r="A3535" s="6">
        <v>3533</v>
      </c>
      <c r="B3535" s="7" t="str">
        <f t="shared" si="767"/>
        <v>305</v>
      </c>
      <c r="C3535" s="7" t="s">
        <v>2862</v>
      </c>
      <c r="D3535" s="7" t="s">
        <v>2584</v>
      </c>
      <c r="E3535" s="7" t="str">
        <f>"陈太琳"</f>
        <v>陈太琳</v>
      </c>
      <c r="F3535" s="7" t="str">
        <f t="shared" si="775"/>
        <v>女</v>
      </c>
      <c r="G3535" s="7" t="s">
        <v>1891</v>
      </c>
      <c r="H3535" s="8"/>
    </row>
    <row r="3536" ht="25" customHeight="1" spans="1:8">
      <c r="A3536" s="6">
        <v>3534</v>
      </c>
      <c r="B3536" s="7" t="str">
        <f t="shared" ref="B3536:B3553" si="776">"305"</f>
        <v>305</v>
      </c>
      <c r="C3536" s="7" t="s">
        <v>2862</v>
      </c>
      <c r="D3536" s="7" t="s">
        <v>2584</v>
      </c>
      <c r="E3536" s="7" t="str">
        <f>"文美方"</f>
        <v>文美方</v>
      </c>
      <c r="F3536" s="7" t="str">
        <f t="shared" si="775"/>
        <v>女</v>
      </c>
      <c r="G3536" s="7" t="s">
        <v>1130</v>
      </c>
      <c r="H3536" s="8"/>
    </row>
    <row r="3537" ht="25" customHeight="1" spans="1:8">
      <c r="A3537" s="6">
        <v>3535</v>
      </c>
      <c r="B3537" s="7" t="str">
        <f t="shared" si="776"/>
        <v>305</v>
      </c>
      <c r="C3537" s="7" t="s">
        <v>2862</v>
      </c>
      <c r="D3537" s="7" t="s">
        <v>2584</v>
      </c>
      <c r="E3537" s="7" t="str">
        <f>"崔庭兰"</f>
        <v>崔庭兰</v>
      </c>
      <c r="F3537" s="7" t="str">
        <f t="shared" si="775"/>
        <v>女</v>
      </c>
      <c r="G3537" s="7" t="s">
        <v>2908</v>
      </c>
      <c r="H3537" s="8"/>
    </row>
    <row r="3538" ht="25" customHeight="1" spans="1:8">
      <c r="A3538" s="6">
        <v>3536</v>
      </c>
      <c r="B3538" s="7" t="str">
        <f t="shared" si="776"/>
        <v>305</v>
      </c>
      <c r="C3538" s="7" t="s">
        <v>2862</v>
      </c>
      <c r="D3538" s="7" t="s">
        <v>2584</v>
      </c>
      <c r="E3538" s="7" t="str">
        <f>"刘桂美"</f>
        <v>刘桂美</v>
      </c>
      <c r="F3538" s="7" t="str">
        <f t="shared" si="775"/>
        <v>女</v>
      </c>
      <c r="G3538" s="7" t="s">
        <v>606</v>
      </c>
      <c r="H3538" s="8"/>
    </row>
    <row r="3539" ht="25" customHeight="1" spans="1:8">
      <c r="A3539" s="6">
        <v>3537</v>
      </c>
      <c r="B3539" s="7" t="str">
        <f t="shared" si="776"/>
        <v>305</v>
      </c>
      <c r="C3539" s="7" t="s">
        <v>2862</v>
      </c>
      <c r="D3539" s="7" t="s">
        <v>2584</v>
      </c>
      <c r="E3539" s="7" t="str">
        <f>"李涓"</f>
        <v>李涓</v>
      </c>
      <c r="F3539" s="7" t="str">
        <f t="shared" si="775"/>
        <v>女</v>
      </c>
      <c r="G3539" s="7" t="s">
        <v>2909</v>
      </c>
      <c r="H3539" s="8"/>
    </row>
    <row r="3540" ht="25" customHeight="1" spans="1:8">
      <c r="A3540" s="6">
        <v>3538</v>
      </c>
      <c r="B3540" s="7" t="str">
        <f t="shared" si="776"/>
        <v>305</v>
      </c>
      <c r="C3540" s="7" t="s">
        <v>2862</v>
      </c>
      <c r="D3540" s="7" t="s">
        <v>2584</v>
      </c>
      <c r="E3540" s="7" t="str">
        <f>"邱小銮"</f>
        <v>邱小銮</v>
      </c>
      <c r="F3540" s="7" t="str">
        <f t="shared" si="775"/>
        <v>女</v>
      </c>
      <c r="G3540" s="7" t="s">
        <v>1409</v>
      </c>
      <c r="H3540" s="8"/>
    </row>
    <row r="3541" ht="25" customHeight="1" spans="1:8">
      <c r="A3541" s="6">
        <v>3539</v>
      </c>
      <c r="B3541" s="7" t="str">
        <f t="shared" si="776"/>
        <v>305</v>
      </c>
      <c r="C3541" s="7" t="s">
        <v>2862</v>
      </c>
      <c r="D3541" s="7" t="s">
        <v>2584</v>
      </c>
      <c r="E3541" s="7" t="str">
        <f>"李道伟"</f>
        <v>李道伟</v>
      </c>
      <c r="F3541" s="7" t="str">
        <f>"男"</f>
        <v>男</v>
      </c>
      <c r="G3541" s="7" t="s">
        <v>1474</v>
      </c>
      <c r="H3541" s="8"/>
    </row>
    <row r="3542" ht="25" customHeight="1" spans="1:8">
      <c r="A3542" s="6">
        <v>3540</v>
      </c>
      <c r="B3542" s="7" t="str">
        <f t="shared" si="776"/>
        <v>305</v>
      </c>
      <c r="C3542" s="7" t="s">
        <v>2862</v>
      </c>
      <c r="D3542" s="7" t="s">
        <v>2584</v>
      </c>
      <c r="E3542" s="7" t="str">
        <f>"王小燕"</f>
        <v>王小燕</v>
      </c>
      <c r="F3542" s="7" t="str">
        <f t="shared" ref="F3542:F3546" si="777">"女"</f>
        <v>女</v>
      </c>
      <c r="G3542" s="7" t="s">
        <v>2910</v>
      </c>
      <c r="H3542" s="8"/>
    </row>
    <row r="3543" ht="25" customHeight="1" spans="1:8">
      <c r="A3543" s="6">
        <v>3541</v>
      </c>
      <c r="B3543" s="7" t="str">
        <f t="shared" si="776"/>
        <v>305</v>
      </c>
      <c r="C3543" s="7" t="s">
        <v>2862</v>
      </c>
      <c r="D3543" s="7" t="s">
        <v>2584</v>
      </c>
      <c r="E3543" s="7" t="str">
        <f>"黄荣"</f>
        <v>黄荣</v>
      </c>
      <c r="F3543" s="7" t="str">
        <f>"男"</f>
        <v>男</v>
      </c>
      <c r="G3543" s="7" t="s">
        <v>2911</v>
      </c>
      <c r="H3543" s="8"/>
    </row>
    <row r="3544" ht="25" customHeight="1" spans="1:8">
      <c r="A3544" s="6">
        <v>3542</v>
      </c>
      <c r="B3544" s="7" t="str">
        <f t="shared" si="776"/>
        <v>305</v>
      </c>
      <c r="C3544" s="7" t="s">
        <v>2862</v>
      </c>
      <c r="D3544" s="7" t="s">
        <v>2584</v>
      </c>
      <c r="E3544" s="7" t="str">
        <f>"苏又敏"</f>
        <v>苏又敏</v>
      </c>
      <c r="F3544" s="7" t="str">
        <f t="shared" si="777"/>
        <v>女</v>
      </c>
      <c r="G3544" s="7" t="s">
        <v>654</v>
      </c>
      <c r="H3544" s="8"/>
    </row>
    <row r="3545" ht="25" customHeight="1" spans="1:8">
      <c r="A3545" s="6">
        <v>3543</v>
      </c>
      <c r="B3545" s="7" t="str">
        <f t="shared" si="776"/>
        <v>305</v>
      </c>
      <c r="C3545" s="7" t="s">
        <v>2862</v>
      </c>
      <c r="D3545" s="7" t="s">
        <v>2584</v>
      </c>
      <c r="E3545" s="7" t="str">
        <f>"王莹玲"</f>
        <v>王莹玲</v>
      </c>
      <c r="F3545" s="7" t="str">
        <f t="shared" si="777"/>
        <v>女</v>
      </c>
      <c r="G3545" s="7" t="s">
        <v>801</v>
      </c>
      <c r="H3545" s="8"/>
    </row>
    <row r="3546" ht="25" customHeight="1" spans="1:8">
      <c r="A3546" s="6">
        <v>3544</v>
      </c>
      <c r="B3546" s="7" t="str">
        <f t="shared" si="776"/>
        <v>305</v>
      </c>
      <c r="C3546" s="7" t="s">
        <v>2862</v>
      </c>
      <c r="D3546" s="7" t="s">
        <v>2584</v>
      </c>
      <c r="E3546" s="7" t="str">
        <f>"陈志霞"</f>
        <v>陈志霞</v>
      </c>
      <c r="F3546" s="7" t="str">
        <f t="shared" si="777"/>
        <v>女</v>
      </c>
      <c r="G3546" s="7" t="s">
        <v>2912</v>
      </c>
      <c r="H3546" s="8"/>
    </row>
    <row r="3547" ht="25" customHeight="1" spans="1:8">
      <c r="A3547" s="6">
        <v>3545</v>
      </c>
      <c r="B3547" s="7" t="str">
        <f t="shared" si="776"/>
        <v>305</v>
      </c>
      <c r="C3547" s="7" t="s">
        <v>2862</v>
      </c>
      <c r="D3547" s="7" t="s">
        <v>2584</v>
      </c>
      <c r="E3547" s="7" t="str">
        <f>"黄昊"</f>
        <v>黄昊</v>
      </c>
      <c r="F3547" s="7" t="str">
        <f>"男"</f>
        <v>男</v>
      </c>
      <c r="G3547" s="7" t="s">
        <v>2913</v>
      </c>
      <c r="H3547" s="8"/>
    </row>
    <row r="3548" ht="25" customHeight="1" spans="1:8">
      <c r="A3548" s="6">
        <v>3546</v>
      </c>
      <c r="B3548" s="7" t="str">
        <f t="shared" si="776"/>
        <v>305</v>
      </c>
      <c r="C3548" s="7" t="s">
        <v>2862</v>
      </c>
      <c r="D3548" s="7" t="s">
        <v>2584</v>
      </c>
      <c r="E3548" s="7" t="str">
        <f>"林雅莉"</f>
        <v>林雅莉</v>
      </c>
      <c r="F3548" s="7" t="str">
        <f t="shared" ref="F3548:F3552" si="778">"女"</f>
        <v>女</v>
      </c>
      <c r="G3548" s="7" t="s">
        <v>89</v>
      </c>
      <c r="H3548" s="8"/>
    </row>
    <row r="3549" ht="25" customHeight="1" spans="1:8">
      <c r="A3549" s="6">
        <v>3547</v>
      </c>
      <c r="B3549" s="7" t="str">
        <f t="shared" si="776"/>
        <v>305</v>
      </c>
      <c r="C3549" s="7" t="s">
        <v>2862</v>
      </c>
      <c r="D3549" s="7" t="s">
        <v>2584</v>
      </c>
      <c r="E3549" s="7" t="str">
        <f>"王秀妹"</f>
        <v>王秀妹</v>
      </c>
      <c r="F3549" s="7" t="str">
        <f t="shared" si="778"/>
        <v>女</v>
      </c>
      <c r="G3549" s="7" t="s">
        <v>2023</v>
      </c>
      <c r="H3549" s="8"/>
    </row>
    <row r="3550" ht="25" customHeight="1" spans="1:8">
      <c r="A3550" s="6">
        <v>3548</v>
      </c>
      <c r="B3550" s="7" t="str">
        <f t="shared" si="776"/>
        <v>305</v>
      </c>
      <c r="C3550" s="7" t="s">
        <v>2862</v>
      </c>
      <c r="D3550" s="7" t="s">
        <v>2584</v>
      </c>
      <c r="E3550" s="7" t="str">
        <f>"郭江霞"</f>
        <v>郭江霞</v>
      </c>
      <c r="F3550" s="7" t="str">
        <f t="shared" si="778"/>
        <v>女</v>
      </c>
      <c r="G3550" s="7" t="s">
        <v>2914</v>
      </c>
      <c r="H3550" s="8"/>
    </row>
    <row r="3551" ht="25" customHeight="1" spans="1:8">
      <c r="A3551" s="6">
        <v>3549</v>
      </c>
      <c r="B3551" s="7" t="str">
        <f t="shared" si="776"/>
        <v>305</v>
      </c>
      <c r="C3551" s="7" t="s">
        <v>2862</v>
      </c>
      <c r="D3551" s="7" t="s">
        <v>2584</v>
      </c>
      <c r="E3551" s="7" t="str">
        <f>"邱红玉"</f>
        <v>邱红玉</v>
      </c>
      <c r="F3551" s="7" t="str">
        <f t="shared" si="778"/>
        <v>女</v>
      </c>
      <c r="G3551" s="7" t="s">
        <v>2915</v>
      </c>
      <c r="H3551" s="8"/>
    </row>
    <row r="3552" ht="25" customHeight="1" spans="1:8">
      <c r="A3552" s="6">
        <v>3550</v>
      </c>
      <c r="B3552" s="7" t="str">
        <f t="shared" si="776"/>
        <v>305</v>
      </c>
      <c r="C3552" s="7" t="s">
        <v>2862</v>
      </c>
      <c r="D3552" s="7" t="s">
        <v>2584</v>
      </c>
      <c r="E3552" s="7" t="str">
        <f>"张艳"</f>
        <v>张艳</v>
      </c>
      <c r="F3552" s="7" t="str">
        <f t="shared" si="778"/>
        <v>女</v>
      </c>
      <c r="G3552" s="7" t="s">
        <v>596</v>
      </c>
      <c r="H3552" s="8"/>
    </row>
    <row r="3553" ht="25" customHeight="1" spans="1:8">
      <c r="A3553" s="6">
        <v>3551</v>
      </c>
      <c r="B3553" s="7" t="str">
        <f t="shared" si="776"/>
        <v>305</v>
      </c>
      <c r="C3553" s="7" t="s">
        <v>2862</v>
      </c>
      <c r="D3553" s="7" t="s">
        <v>2584</v>
      </c>
      <c r="E3553" s="7" t="str">
        <f>"符启坚"</f>
        <v>符启坚</v>
      </c>
      <c r="F3553" s="7" t="str">
        <f>"男"</f>
        <v>男</v>
      </c>
      <c r="G3553" s="7" t="s">
        <v>1503</v>
      </c>
      <c r="H3553" s="8"/>
    </row>
    <row r="3554" ht="25" customHeight="1" spans="1:8">
      <c r="A3554" s="6">
        <v>3552</v>
      </c>
      <c r="B3554" s="7" t="str">
        <f t="shared" ref="B3554:B3617" si="779">"306"</f>
        <v>306</v>
      </c>
      <c r="C3554" s="7" t="s">
        <v>2916</v>
      </c>
      <c r="D3554" s="7" t="s">
        <v>2584</v>
      </c>
      <c r="E3554" s="7" t="str">
        <f>"陈碧虹"</f>
        <v>陈碧虹</v>
      </c>
      <c r="F3554" s="7" t="str">
        <f t="shared" ref="F3554:F3575" si="780">"女"</f>
        <v>女</v>
      </c>
      <c r="G3554" s="7" t="s">
        <v>2917</v>
      </c>
      <c r="H3554" s="8"/>
    </row>
    <row r="3555" ht="25" customHeight="1" spans="1:8">
      <c r="A3555" s="6">
        <v>3553</v>
      </c>
      <c r="B3555" s="7" t="str">
        <f t="shared" si="779"/>
        <v>306</v>
      </c>
      <c r="C3555" s="7" t="s">
        <v>2916</v>
      </c>
      <c r="D3555" s="7" t="s">
        <v>2584</v>
      </c>
      <c r="E3555" s="7" t="str">
        <f>"唐小微"</f>
        <v>唐小微</v>
      </c>
      <c r="F3555" s="7" t="str">
        <f t="shared" si="780"/>
        <v>女</v>
      </c>
      <c r="G3555" s="7" t="s">
        <v>2016</v>
      </c>
      <c r="H3555" s="8"/>
    </row>
    <row r="3556" ht="25" customHeight="1" spans="1:8">
      <c r="A3556" s="6">
        <v>3554</v>
      </c>
      <c r="B3556" s="7" t="str">
        <f t="shared" si="779"/>
        <v>306</v>
      </c>
      <c r="C3556" s="7" t="s">
        <v>2916</v>
      </c>
      <c r="D3556" s="7" t="s">
        <v>2584</v>
      </c>
      <c r="E3556" s="7" t="str">
        <f>"曹蓉"</f>
        <v>曹蓉</v>
      </c>
      <c r="F3556" s="7" t="str">
        <f t="shared" si="780"/>
        <v>女</v>
      </c>
      <c r="G3556" s="7" t="s">
        <v>2918</v>
      </c>
      <c r="H3556" s="8"/>
    </row>
    <row r="3557" ht="25" customHeight="1" spans="1:8">
      <c r="A3557" s="6">
        <v>3555</v>
      </c>
      <c r="B3557" s="7" t="str">
        <f t="shared" si="779"/>
        <v>306</v>
      </c>
      <c r="C3557" s="7" t="s">
        <v>2916</v>
      </c>
      <c r="D3557" s="7" t="s">
        <v>2584</v>
      </c>
      <c r="E3557" s="7" t="str">
        <f>"余欣瑶"</f>
        <v>余欣瑶</v>
      </c>
      <c r="F3557" s="7" t="str">
        <f t="shared" si="780"/>
        <v>女</v>
      </c>
      <c r="G3557" s="7" t="s">
        <v>2919</v>
      </c>
      <c r="H3557" s="8"/>
    </row>
    <row r="3558" ht="25" customHeight="1" spans="1:8">
      <c r="A3558" s="6">
        <v>3556</v>
      </c>
      <c r="B3558" s="7" t="str">
        <f t="shared" si="779"/>
        <v>306</v>
      </c>
      <c r="C3558" s="7" t="s">
        <v>2916</v>
      </c>
      <c r="D3558" s="7" t="s">
        <v>2584</v>
      </c>
      <c r="E3558" s="7" t="str">
        <f>"杨文进"</f>
        <v>杨文进</v>
      </c>
      <c r="F3558" s="7" t="str">
        <f t="shared" si="780"/>
        <v>女</v>
      </c>
      <c r="G3558" s="7" t="s">
        <v>2920</v>
      </c>
      <c r="H3558" s="8"/>
    </row>
    <row r="3559" ht="25" customHeight="1" spans="1:8">
      <c r="A3559" s="6">
        <v>3557</v>
      </c>
      <c r="B3559" s="7" t="str">
        <f t="shared" si="779"/>
        <v>306</v>
      </c>
      <c r="C3559" s="7" t="s">
        <v>2916</v>
      </c>
      <c r="D3559" s="7" t="s">
        <v>2584</v>
      </c>
      <c r="E3559" s="7" t="str">
        <f>"蒋红红"</f>
        <v>蒋红红</v>
      </c>
      <c r="F3559" s="7" t="str">
        <f t="shared" si="780"/>
        <v>女</v>
      </c>
      <c r="G3559" s="7" t="s">
        <v>2921</v>
      </c>
      <c r="H3559" s="8"/>
    </row>
    <row r="3560" ht="25" customHeight="1" spans="1:8">
      <c r="A3560" s="6">
        <v>3558</v>
      </c>
      <c r="B3560" s="7" t="str">
        <f t="shared" si="779"/>
        <v>306</v>
      </c>
      <c r="C3560" s="7" t="s">
        <v>2916</v>
      </c>
      <c r="D3560" s="7" t="s">
        <v>2584</v>
      </c>
      <c r="E3560" s="7" t="str">
        <f>"韦兰春"</f>
        <v>韦兰春</v>
      </c>
      <c r="F3560" s="7" t="str">
        <f t="shared" si="780"/>
        <v>女</v>
      </c>
      <c r="G3560" s="7" t="s">
        <v>2922</v>
      </c>
      <c r="H3560" s="8"/>
    </row>
    <row r="3561" ht="25" customHeight="1" spans="1:8">
      <c r="A3561" s="6">
        <v>3559</v>
      </c>
      <c r="B3561" s="7" t="str">
        <f t="shared" si="779"/>
        <v>306</v>
      </c>
      <c r="C3561" s="7" t="s">
        <v>2916</v>
      </c>
      <c r="D3561" s="7" t="s">
        <v>2584</v>
      </c>
      <c r="E3561" s="7" t="str">
        <f>"施宝仪"</f>
        <v>施宝仪</v>
      </c>
      <c r="F3561" s="7" t="str">
        <f t="shared" si="780"/>
        <v>女</v>
      </c>
      <c r="G3561" s="7" t="s">
        <v>376</v>
      </c>
      <c r="H3561" s="8"/>
    </row>
    <row r="3562" ht="25" customHeight="1" spans="1:8">
      <c r="A3562" s="6">
        <v>3560</v>
      </c>
      <c r="B3562" s="7" t="str">
        <f t="shared" si="779"/>
        <v>306</v>
      </c>
      <c r="C3562" s="7" t="s">
        <v>2916</v>
      </c>
      <c r="D3562" s="7" t="s">
        <v>2584</v>
      </c>
      <c r="E3562" s="7" t="str">
        <f>"宁欢庆"</f>
        <v>宁欢庆</v>
      </c>
      <c r="F3562" s="7" t="str">
        <f t="shared" si="780"/>
        <v>女</v>
      </c>
      <c r="G3562" s="7" t="s">
        <v>2923</v>
      </c>
      <c r="H3562" s="8"/>
    </row>
    <row r="3563" ht="25" customHeight="1" spans="1:8">
      <c r="A3563" s="6">
        <v>3561</v>
      </c>
      <c r="B3563" s="7" t="str">
        <f t="shared" si="779"/>
        <v>306</v>
      </c>
      <c r="C3563" s="7" t="s">
        <v>2916</v>
      </c>
      <c r="D3563" s="7" t="s">
        <v>2584</v>
      </c>
      <c r="E3563" s="7" t="str">
        <f>"梁雨欣"</f>
        <v>梁雨欣</v>
      </c>
      <c r="F3563" s="7" t="str">
        <f t="shared" si="780"/>
        <v>女</v>
      </c>
      <c r="G3563" s="7" t="s">
        <v>87</v>
      </c>
      <c r="H3563" s="8"/>
    </row>
    <row r="3564" ht="25" customHeight="1" spans="1:8">
      <c r="A3564" s="6">
        <v>3562</v>
      </c>
      <c r="B3564" s="7" t="str">
        <f t="shared" si="779"/>
        <v>306</v>
      </c>
      <c r="C3564" s="7" t="s">
        <v>2916</v>
      </c>
      <c r="D3564" s="7" t="s">
        <v>2584</v>
      </c>
      <c r="E3564" s="7" t="str">
        <f>"王明珠"</f>
        <v>王明珠</v>
      </c>
      <c r="F3564" s="7" t="str">
        <f t="shared" si="780"/>
        <v>女</v>
      </c>
      <c r="G3564" s="7" t="s">
        <v>2924</v>
      </c>
      <c r="H3564" s="8"/>
    </row>
    <row r="3565" ht="25" customHeight="1" spans="1:8">
      <c r="A3565" s="6">
        <v>3563</v>
      </c>
      <c r="B3565" s="7" t="str">
        <f t="shared" si="779"/>
        <v>306</v>
      </c>
      <c r="C3565" s="7" t="s">
        <v>2916</v>
      </c>
      <c r="D3565" s="7" t="s">
        <v>2584</v>
      </c>
      <c r="E3565" s="7" t="str">
        <f>"林佳银"</f>
        <v>林佳银</v>
      </c>
      <c r="F3565" s="7" t="str">
        <f t="shared" si="780"/>
        <v>女</v>
      </c>
      <c r="G3565" s="7" t="s">
        <v>2925</v>
      </c>
      <c r="H3565" s="8"/>
    </row>
    <row r="3566" ht="25" customHeight="1" spans="1:8">
      <c r="A3566" s="6">
        <v>3564</v>
      </c>
      <c r="B3566" s="7" t="str">
        <f t="shared" si="779"/>
        <v>306</v>
      </c>
      <c r="C3566" s="7" t="s">
        <v>2916</v>
      </c>
      <c r="D3566" s="7" t="s">
        <v>2584</v>
      </c>
      <c r="E3566" s="7" t="str">
        <f>"林秋如"</f>
        <v>林秋如</v>
      </c>
      <c r="F3566" s="7" t="str">
        <f t="shared" si="780"/>
        <v>女</v>
      </c>
      <c r="G3566" s="7" t="s">
        <v>2926</v>
      </c>
      <c r="H3566" s="8"/>
    </row>
    <row r="3567" ht="25" customHeight="1" spans="1:8">
      <c r="A3567" s="6">
        <v>3565</v>
      </c>
      <c r="B3567" s="7" t="str">
        <f t="shared" si="779"/>
        <v>306</v>
      </c>
      <c r="C3567" s="7" t="s">
        <v>2916</v>
      </c>
      <c r="D3567" s="7" t="s">
        <v>2584</v>
      </c>
      <c r="E3567" s="7" t="str">
        <f>"孙翠"</f>
        <v>孙翠</v>
      </c>
      <c r="F3567" s="7" t="str">
        <f t="shared" si="780"/>
        <v>女</v>
      </c>
      <c r="G3567" s="7" t="s">
        <v>2927</v>
      </c>
      <c r="H3567" s="8"/>
    </row>
    <row r="3568" ht="25" customHeight="1" spans="1:8">
      <c r="A3568" s="6">
        <v>3566</v>
      </c>
      <c r="B3568" s="7" t="str">
        <f t="shared" si="779"/>
        <v>306</v>
      </c>
      <c r="C3568" s="7" t="s">
        <v>2916</v>
      </c>
      <c r="D3568" s="7" t="s">
        <v>2584</v>
      </c>
      <c r="E3568" s="7" t="str">
        <f>"蒋子蔷"</f>
        <v>蒋子蔷</v>
      </c>
      <c r="F3568" s="7" t="str">
        <f t="shared" si="780"/>
        <v>女</v>
      </c>
      <c r="G3568" s="7" t="s">
        <v>709</v>
      </c>
      <c r="H3568" s="8"/>
    </row>
    <row r="3569" ht="25" customHeight="1" spans="1:8">
      <c r="A3569" s="6">
        <v>3567</v>
      </c>
      <c r="B3569" s="7" t="str">
        <f t="shared" si="779"/>
        <v>306</v>
      </c>
      <c r="C3569" s="7" t="s">
        <v>2916</v>
      </c>
      <c r="D3569" s="7" t="s">
        <v>2584</v>
      </c>
      <c r="E3569" s="7" t="str">
        <f>"张楚楚"</f>
        <v>张楚楚</v>
      </c>
      <c r="F3569" s="7" t="str">
        <f t="shared" si="780"/>
        <v>女</v>
      </c>
      <c r="G3569" s="7" t="s">
        <v>2928</v>
      </c>
      <c r="H3569" s="8"/>
    </row>
    <row r="3570" ht="25" customHeight="1" spans="1:8">
      <c r="A3570" s="6">
        <v>3568</v>
      </c>
      <c r="B3570" s="7" t="str">
        <f t="shared" si="779"/>
        <v>306</v>
      </c>
      <c r="C3570" s="7" t="s">
        <v>2916</v>
      </c>
      <c r="D3570" s="7" t="s">
        <v>2584</v>
      </c>
      <c r="E3570" s="7" t="str">
        <f>"谢永宏"</f>
        <v>谢永宏</v>
      </c>
      <c r="F3570" s="7" t="str">
        <f t="shared" si="780"/>
        <v>女</v>
      </c>
      <c r="G3570" s="7" t="s">
        <v>2929</v>
      </c>
      <c r="H3570" s="8"/>
    </row>
    <row r="3571" ht="25" customHeight="1" spans="1:8">
      <c r="A3571" s="6">
        <v>3569</v>
      </c>
      <c r="B3571" s="7" t="str">
        <f t="shared" si="779"/>
        <v>306</v>
      </c>
      <c r="C3571" s="7" t="s">
        <v>2916</v>
      </c>
      <c r="D3571" s="7" t="s">
        <v>2584</v>
      </c>
      <c r="E3571" s="7" t="str">
        <f>"李飞莉"</f>
        <v>李飞莉</v>
      </c>
      <c r="F3571" s="7" t="str">
        <f t="shared" si="780"/>
        <v>女</v>
      </c>
      <c r="G3571" s="7" t="s">
        <v>2930</v>
      </c>
      <c r="H3571" s="8"/>
    </row>
    <row r="3572" ht="25" customHeight="1" spans="1:8">
      <c r="A3572" s="6">
        <v>3570</v>
      </c>
      <c r="B3572" s="7" t="str">
        <f t="shared" si="779"/>
        <v>306</v>
      </c>
      <c r="C3572" s="7" t="s">
        <v>2916</v>
      </c>
      <c r="D3572" s="7" t="s">
        <v>2584</v>
      </c>
      <c r="E3572" s="7" t="str">
        <f>"王佐美"</f>
        <v>王佐美</v>
      </c>
      <c r="F3572" s="7" t="str">
        <f t="shared" si="780"/>
        <v>女</v>
      </c>
      <c r="G3572" s="7" t="s">
        <v>459</v>
      </c>
      <c r="H3572" s="8"/>
    </row>
    <row r="3573" ht="25" customHeight="1" spans="1:8">
      <c r="A3573" s="6">
        <v>3571</v>
      </c>
      <c r="B3573" s="7" t="str">
        <f t="shared" si="779"/>
        <v>306</v>
      </c>
      <c r="C3573" s="7" t="s">
        <v>2916</v>
      </c>
      <c r="D3573" s="7" t="s">
        <v>2584</v>
      </c>
      <c r="E3573" s="7" t="str">
        <f>"何华桃"</f>
        <v>何华桃</v>
      </c>
      <c r="F3573" s="7" t="str">
        <f t="shared" si="780"/>
        <v>女</v>
      </c>
      <c r="G3573" s="7" t="s">
        <v>2931</v>
      </c>
      <c r="H3573" s="8"/>
    </row>
    <row r="3574" ht="25" customHeight="1" spans="1:8">
      <c r="A3574" s="6">
        <v>3572</v>
      </c>
      <c r="B3574" s="7" t="str">
        <f t="shared" si="779"/>
        <v>306</v>
      </c>
      <c r="C3574" s="7" t="s">
        <v>2916</v>
      </c>
      <c r="D3574" s="7" t="s">
        <v>2584</v>
      </c>
      <c r="E3574" s="7" t="str">
        <f>"肖洁"</f>
        <v>肖洁</v>
      </c>
      <c r="F3574" s="7" t="str">
        <f t="shared" si="780"/>
        <v>女</v>
      </c>
      <c r="G3574" s="7" t="s">
        <v>2932</v>
      </c>
      <c r="H3574" s="8"/>
    </row>
    <row r="3575" ht="25" customHeight="1" spans="1:8">
      <c r="A3575" s="6">
        <v>3573</v>
      </c>
      <c r="B3575" s="7" t="str">
        <f t="shared" si="779"/>
        <v>306</v>
      </c>
      <c r="C3575" s="7" t="s">
        <v>2916</v>
      </c>
      <c r="D3575" s="7" t="s">
        <v>2584</v>
      </c>
      <c r="E3575" s="7" t="str">
        <f>"何先姬"</f>
        <v>何先姬</v>
      </c>
      <c r="F3575" s="7" t="str">
        <f t="shared" si="780"/>
        <v>女</v>
      </c>
      <c r="G3575" s="7" t="s">
        <v>2933</v>
      </c>
      <c r="H3575" s="8"/>
    </row>
    <row r="3576" ht="25" customHeight="1" spans="1:8">
      <c r="A3576" s="6">
        <v>3574</v>
      </c>
      <c r="B3576" s="7" t="str">
        <f t="shared" si="779"/>
        <v>306</v>
      </c>
      <c r="C3576" s="7" t="s">
        <v>2916</v>
      </c>
      <c r="D3576" s="7" t="s">
        <v>2584</v>
      </c>
      <c r="E3576" s="7" t="str">
        <f>"詹成"</f>
        <v>詹成</v>
      </c>
      <c r="F3576" s="7" t="str">
        <f>"男"</f>
        <v>男</v>
      </c>
      <c r="G3576" s="7" t="s">
        <v>2934</v>
      </c>
      <c r="H3576" s="8"/>
    </row>
    <row r="3577" ht="25" customHeight="1" spans="1:8">
      <c r="A3577" s="6">
        <v>3575</v>
      </c>
      <c r="B3577" s="7" t="str">
        <f t="shared" si="779"/>
        <v>306</v>
      </c>
      <c r="C3577" s="7" t="s">
        <v>2916</v>
      </c>
      <c r="D3577" s="7" t="s">
        <v>2584</v>
      </c>
      <c r="E3577" s="7" t="str">
        <f>"李静"</f>
        <v>李静</v>
      </c>
      <c r="F3577" s="7" t="str">
        <f t="shared" ref="F3577:F3579" si="781">"女"</f>
        <v>女</v>
      </c>
      <c r="G3577" s="7" t="s">
        <v>2935</v>
      </c>
      <c r="H3577" s="8"/>
    </row>
    <row r="3578" ht="25" customHeight="1" spans="1:8">
      <c r="A3578" s="6">
        <v>3576</v>
      </c>
      <c r="B3578" s="7" t="str">
        <f t="shared" si="779"/>
        <v>306</v>
      </c>
      <c r="C3578" s="7" t="s">
        <v>2916</v>
      </c>
      <c r="D3578" s="7" t="s">
        <v>2584</v>
      </c>
      <c r="E3578" s="7" t="str">
        <f>"张美虹"</f>
        <v>张美虹</v>
      </c>
      <c r="F3578" s="7" t="str">
        <f t="shared" si="781"/>
        <v>女</v>
      </c>
      <c r="G3578" s="7" t="s">
        <v>1250</v>
      </c>
      <c r="H3578" s="8"/>
    </row>
    <row r="3579" ht="25" customHeight="1" spans="1:8">
      <c r="A3579" s="6">
        <v>3577</v>
      </c>
      <c r="B3579" s="7" t="str">
        <f t="shared" si="779"/>
        <v>306</v>
      </c>
      <c r="C3579" s="7" t="s">
        <v>2916</v>
      </c>
      <c r="D3579" s="7" t="s">
        <v>2584</v>
      </c>
      <c r="E3579" s="7" t="str">
        <f>"郭小颖"</f>
        <v>郭小颖</v>
      </c>
      <c r="F3579" s="7" t="str">
        <f t="shared" si="781"/>
        <v>女</v>
      </c>
      <c r="G3579" s="7" t="s">
        <v>1146</v>
      </c>
      <c r="H3579" s="8"/>
    </row>
    <row r="3580" ht="25" customHeight="1" spans="1:8">
      <c r="A3580" s="6">
        <v>3578</v>
      </c>
      <c r="B3580" s="7" t="str">
        <f t="shared" si="779"/>
        <v>306</v>
      </c>
      <c r="C3580" s="7" t="s">
        <v>2916</v>
      </c>
      <c r="D3580" s="7" t="s">
        <v>2584</v>
      </c>
      <c r="E3580" s="7" t="str">
        <f>"黄良涛"</f>
        <v>黄良涛</v>
      </c>
      <c r="F3580" s="7" t="str">
        <f>"男"</f>
        <v>男</v>
      </c>
      <c r="G3580" s="7" t="s">
        <v>2936</v>
      </c>
      <c r="H3580" s="8"/>
    </row>
    <row r="3581" ht="25" customHeight="1" spans="1:8">
      <c r="A3581" s="6">
        <v>3579</v>
      </c>
      <c r="B3581" s="7" t="str">
        <f t="shared" si="779"/>
        <v>306</v>
      </c>
      <c r="C3581" s="7" t="s">
        <v>2916</v>
      </c>
      <c r="D3581" s="7" t="s">
        <v>2584</v>
      </c>
      <c r="E3581" s="7" t="str">
        <f>"刘桃桃"</f>
        <v>刘桃桃</v>
      </c>
      <c r="F3581" s="7" t="str">
        <f t="shared" ref="F3581:F3587" si="782">"女"</f>
        <v>女</v>
      </c>
      <c r="G3581" s="7" t="s">
        <v>2937</v>
      </c>
      <c r="H3581" s="8"/>
    </row>
    <row r="3582" ht="25" customHeight="1" spans="1:8">
      <c r="A3582" s="6">
        <v>3580</v>
      </c>
      <c r="B3582" s="7" t="str">
        <f t="shared" si="779"/>
        <v>306</v>
      </c>
      <c r="C3582" s="7" t="s">
        <v>2916</v>
      </c>
      <c r="D3582" s="7" t="s">
        <v>2584</v>
      </c>
      <c r="E3582" s="7" t="str">
        <f>"陈伟民"</f>
        <v>陈伟民</v>
      </c>
      <c r="F3582" s="7" t="str">
        <f>"男"</f>
        <v>男</v>
      </c>
      <c r="G3582" s="7" t="s">
        <v>1744</v>
      </c>
      <c r="H3582" s="8"/>
    </row>
    <row r="3583" ht="25" customHeight="1" spans="1:8">
      <c r="A3583" s="6">
        <v>3581</v>
      </c>
      <c r="B3583" s="7" t="str">
        <f t="shared" si="779"/>
        <v>306</v>
      </c>
      <c r="C3583" s="7" t="s">
        <v>2916</v>
      </c>
      <c r="D3583" s="7" t="s">
        <v>2584</v>
      </c>
      <c r="E3583" s="7" t="str">
        <f>"王璟"</f>
        <v>王璟</v>
      </c>
      <c r="F3583" s="7" t="str">
        <f t="shared" si="782"/>
        <v>女</v>
      </c>
      <c r="G3583" s="7" t="s">
        <v>2938</v>
      </c>
      <c r="H3583" s="8"/>
    </row>
    <row r="3584" ht="25" customHeight="1" spans="1:8">
      <c r="A3584" s="6">
        <v>3582</v>
      </c>
      <c r="B3584" s="7" t="str">
        <f t="shared" si="779"/>
        <v>306</v>
      </c>
      <c r="C3584" s="7" t="s">
        <v>2916</v>
      </c>
      <c r="D3584" s="7" t="s">
        <v>2584</v>
      </c>
      <c r="E3584" s="7" t="str">
        <f>"刘雪路"</f>
        <v>刘雪路</v>
      </c>
      <c r="F3584" s="7" t="str">
        <f t="shared" si="782"/>
        <v>女</v>
      </c>
      <c r="G3584" s="7" t="s">
        <v>2939</v>
      </c>
      <c r="H3584" s="8"/>
    </row>
    <row r="3585" ht="25" customHeight="1" spans="1:8">
      <c r="A3585" s="6">
        <v>3583</v>
      </c>
      <c r="B3585" s="7" t="str">
        <f t="shared" si="779"/>
        <v>306</v>
      </c>
      <c r="C3585" s="7" t="s">
        <v>2916</v>
      </c>
      <c r="D3585" s="7" t="s">
        <v>2584</v>
      </c>
      <c r="E3585" s="7" t="str">
        <f>"朱行佳"</f>
        <v>朱行佳</v>
      </c>
      <c r="F3585" s="7" t="str">
        <f t="shared" si="782"/>
        <v>女</v>
      </c>
      <c r="G3585" s="7" t="s">
        <v>749</v>
      </c>
      <c r="H3585" s="8"/>
    </row>
    <row r="3586" ht="25" customHeight="1" spans="1:8">
      <c r="A3586" s="6">
        <v>3584</v>
      </c>
      <c r="B3586" s="7" t="str">
        <f t="shared" si="779"/>
        <v>306</v>
      </c>
      <c r="C3586" s="7" t="s">
        <v>2916</v>
      </c>
      <c r="D3586" s="7" t="s">
        <v>2584</v>
      </c>
      <c r="E3586" s="7" t="str">
        <f>"谢莹"</f>
        <v>谢莹</v>
      </c>
      <c r="F3586" s="7" t="str">
        <f t="shared" si="782"/>
        <v>女</v>
      </c>
      <c r="G3586" s="7" t="s">
        <v>2940</v>
      </c>
      <c r="H3586" s="8"/>
    </row>
    <row r="3587" ht="25" customHeight="1" spans="1:8">
      <c r="A3587" s="6">
        <v>3585</v>
      </c>
      <c r="B3587" s="7" t="str">
        <f t="shared" si="779"/>
        <v>306</v>
      </c>
      <c r="C3587" s="7" t="s">
        <v>2916</v>
      </c>
      <c r="D3587" s="7" t="s">
        <v>2584</v>
      </c>
      <c r="E3587" s="7" t="str">
        <f>"夏娜"</f>
        <v>夏娜</v>
      </c>
      <c r="F3587" s="7" t="str">
        <f t="shared" si="782"/>
        <v>女</v>
      </c>
      <c r="G3587" s="7" t="s">
        <v>2941</v>
      </c>
      <c r="H3587" s="8"/>
    </row>
    <row r="3588" ht="25" customHeight="1" spans="1:8">
      <c r="A3588" s="6">
        <v>3586</v>
      </c>
      <c r="B3588" s="7" t="str">
        <f t="shared" si="779"/>
        <v>306</v>
      </c>
      <c r="C3588" s="7" t="s">
        <v>2916</v>
      </c>
      <c r="D3588" s="7" t="s">
        <v>2584</v>
      </c>
      <c r="E3588" s="7" t="str">
        <f>"陈海风"</f>
        <v>陈海风</v>
      </c>
      <c r="F3588" s="7" t="str">
        <f t="shared" ref="F3588:F3591" si="783">"男"</f>
        <v>男</v>
      </c>
      <c r="G3588" s="7" t="s">
        <v>2942</v>
      </c>
      <c r="H3588" s="8"/>
    </row>
    <row r="3589" ht="25" customHeight="1" spans="1:8">
      <c r="A3589" s="6">
        <v>3587</v>
      </c>
      <c r="B3589" s="7" t="str">
        <f t="shared" si="779"/>
        <v>306</v>
      </c>
      <c r="C3589" s="7" t="s">
        <v>2916</v>
      </c>
      <c r="D3589" s="7" t="s">
        <v>2584</v>
      </c>
      <c r="E3589" s="7" t="str">
        <f>"罗晓楠"</f>
        <v>罗晓楠</v>
      </c>
      <c r="F3589" s="7" t="str">
        <f t="shared" ref="F3589:F3607" si="784">"女"</f>
        <v>女</v>
      </c>
      <c r="G3589" s="7" t="s">
        <v>2943</v>
      </c>
      <c r="H3589" s="8"/>
    </row>
    <row r="3590" ht="25" customHeight="1" spans="1:8">
      <c r="A3590" s="6">
        <v>3588</v>
      </c>
      <c r="B3590" s="7" t="str">
        <f t="shared" si="779"/>
        <v>306</v>
      </c>
      <c r="C3590" s="7" t="s">
        <v>2916</v>
      </c>
      <c r="D3590" s="7" t="s">
        <v>2584</v>
      </c>
      <c r="E3590" s="7" t="str">
        <f>"何家鹏"</f>
        <v>何家鹏</v>
      </c>
      <c r="F3590" s="7" t="str">
        <f t="shared" si="783"/>
        <v>男</v>
      </c>
      <c r="G3590" s="7" t="s">
        <v>590</v>
      </c>
      <c r="H3590" s="8"/>
    </row>
    <row r="3591" ht="25" customHeight="1" spans="1:8">
      <c r="A3591" s="6">
        <v>3589</v>
      </c>
      <c r="B3591" s="7" t="str">
        <f t="shared" si="779"/>
        <v>306</v>
      </c>
      <c r="C3591" s="7" t="s">
        <v>2916</v>
      </c>
      <c r="D3591" s="7" t="s">
        <v>2584</v>
      </c>
      <c r="E3591" s="7" t="str">
        <f>"羊少仁"</f>
        <v>羊少仁</v>
      </c>
      <c r="F3591" s="7" t="str">
        <f t="shared" si="783"/>
        <v>男</v>
      </c>
      <c r="G3591" s="7" t="s">
        <v>1239</v>
      </c>
      <c r="H3591" s="8"/>
    </row>
    <row r="3592" ht="25" customHeight="1" spans="1:8">
      <c r="A3592" s="6">
        <v>3590</v>
      </c>
      <c r="B3592" s="7" t="str">
        <f t="shared" si="779"/>
        <v>306</v>
      </c>
      <c r="C3592" s="7" t="s">
        <v>2916</v>
      </c>
      <c r="D3592" s="7" t="s">
        <v>2584</v>
      </c>
      <c r="E3592" s="7" t="str">
        <f>"邢圆圆"</f>
        <v>邢圆圆</v>
      </c>
      <c r="F3592" s="7" t="str">
        <f t="shared" si="784"/>
        <v>女</v>
      </c>
      <c r="G3592" s="7" t="s">
        <v>2944</v>
      </c>
      <c r="H3592" s="8"/>
    </row>
    <row r="3593" ht="25" customHeight="1" spans="1:8">
      <c r="A3593" s="6">
        <v>3591</v>
      </c>
      <c r="B3593" s="7" t="str">
        <f t="shared" si="779"/>
        <v>306</v>
      </c>
      <c r="C3593" s="7" t="s">
        <v>2916</v>
      </c>
      <c r="D3593" s="7" t="s">
        <v>2584</v>
      </c>
      <c r="E3593" s="7" t="str">
        <f>"陈燕"</f>
        <v>陈燕</v>
      </c>
      <c r="F3593" s="7" t="str">
        <f t="shared" si="784"/>
        <v>女</v>
      </c>
      <c r="G3593" s="7" t="s">
        <v>2345</v>
      </c>
      <c r="H3593" s="8"/>
    </row>
    <row r="3594" ht="25" customHeight="1" spans="1:8">
      <c r="A3594" s="6">
        <v>3592</v>
      </c>
      <c r="B3594" s="7" t="str">
        <f t="shared" si="779"/>
        <v>306</v>
      </c>
      <c r="C3594" s="7" t="s">
        <v>2916</v>
      </c>
      <c r="D3594" s="7" t="s">
        <v>2584</v>
      </c>
      <c r="E3594" s="7" t="str">
        <f>"李精梅"</f>
        <v>李精梅</v>
      </c>
      <c r="F3594" s="7" t="str">
        <f t="shared" si="784"/>
        <v>女</v>
      </c>
      <c r="G3594" s="7" t="s">
        <v>2945</v>
      </c>
      <c r="H3594" s="8"/>
    </row>
    <row r="3595" ht="25" customHeight="1" spans="1:8">
      <c r="A3595" s="6">
        <v>3593</v>
      </c>
      <c r="B3595" s="7" t="str">
        <f t="shared" si="779"/>
        <v>306</v>
      </c>
      <c r="C3595" s="7" t="s">
        <v>2916</v>
      </c>
      <c r="D3595" s="7" t="s">
        <v>2584</v>
      </c>
      <c r="E3595" s="7" t="str">
        <f>"王卫玲"</f>
        <v>王卫玲</v>
      </c>
      <c r="F3595" s="7" t="str">
        <f t="shared" si="784"/>
        <v>女</v>
      </c>
      <c r="G3595" s="7" t="s">
        <v>2946</v>
      </c>
      <c r="H3595" s="8"/>
    </row>
    <row r="3596" ht="25" customHeight="1" spans="1:8">
      <c r="A3596" s="6">
        <v>3594</v>
      </c>
      <c r="B3596" s="7" t="str">
        <f t="shared" si="779"/>
        <v>306</v>
      </c>
      <c r="C3596" s="7" t="s">
        <v>2916</v>
      </c>
      <c r="D3596" s="7" t="s">
        <v>2584</v>
      </c>
      <c r="E3596" s="7" t="str">
        <f>"吉灵燕"</f>
        <v>吉灵燕</v>
      </c>
      <c r="F3596" s="7" t="str">
        <f t="shared" si="784"/>
        <v>女</v>
      </c>
      <c r="G3596" s="7" t="s">
        <v>2947</v>
      </c>
      <c r="H3596" s="8"/>
    </row>
    <row r="3597" ht="25" customHeight="1" spans="1:8">
      <c r="A3597" s="6">
        <v>3595</v>
      </c>
      <c r="B3597" s="7" t="str">
        <f t="shared" si="779"/>
        <v>306</v>
      </c>
      <c r="C3597" s="7" t="s">
        <v>2916</v>
      </c>
      <c r="D3597" s="7" t="s">
        <v>2584</v>
      </c>
      <c r="E3597" s="7" t="str">
        <f>"何夏雨"</f>
        <v>何夏雨</v>
      </c>
      <c r="F3597" s="7" t="str">
        <f t="shared" si="784"/>
        <v>女</v>
      </c>
      <c r="G3597" s="7" t="s">
        <v>661</v>
      </c>
      <c r="H3597" s="8"/>
    </row>
    <row r="3598" ht="25" customHeight="1" spans="1:8">
      <c r="A3598" s="6">
        <v>3596</v>
      </c>
      <c r="B3598" s="7" t="str">
        <f t="shared" si="779"/>
        <v>306</v>
      </c>
      <c r="C3598" s="7" t="s">
        <v>2916</v>
      </c>
      <c r="D3598" s="7" t="s">
        <v>2584</v>
      </c>
      <c r="E3598" s="7" t="str">
        <f>"黎鑫"</f>
        <v>黎鑫</v>
      </c>
      <c r="F3598" s="7" t="str">
        <f t="shared" si="784"/>
        <v>女</v>
      </c>
      <c r="G3598" s="7" t="s">
        <v>1259</v>
      </c>
      <c r="H3598" s="8"/>
    </row>
    <row r="3599" ht="25" customHeight="1" spans="1:8">
      <c r="A3599" s="6">
        <v>3597</v>
      </c>
      <c r="B3599" s="7" t="str">
        <f t="shared" si="779"/>
        <v>306</v>
      </c>
      <c r="C3599" s="7" t="s">
        <v>2916</v>
      </c>
      <c r="D3599" s="7" t="s">
        <v>2584</v>
      </c>
      <c r="E3599" s="7" t="str">
        <f>"燕爽"</f>
        <v>燕爽</v>
      </c>
      <c r="F3599" s="7" t="str">
        <f t="shared" si="784"/>
        <v>女</v>
      </c>
      <c r="G3599" s="7" t="s">
        <v>2948</v>
      </c>
      <c r="H3599" s="8"/>
    </row>
    <row r="3600" ht="25" customHeight="1" spans="1:8">
      <c r="A3600" s="6">
        <v>3598</v>
      </c>
      <c r="B3600" s="7" t="str">
        <f t="shared" si="779"/>
        <v>306</v>
      </c>
      <c r="C3600" s="7" t="s">
        <v>2916</v>
      </c>
      <c r="D3600" s="7" t="s">
        <v>2584</v>
      </c>
      <c r="E3600" s="7" t="str">
        <f>"陈木萍"</f>
        <v>陈木萍</v>
      </c>
      <c r="F3600" s="7" t="str">
        <f t="shared" si="784"/>
        <v>女</v>
      </c>
      <c r="G3600" s="7" t="s">
        <v>2949</v>
      </c>
      <c r="H3600" s="8"/>
    </row>
    <row r="3601" ht="25" customHeight="1" spans="1:8">
      <c r="A3601" s="6">
        <v>3599</v>
      </c>
      <c r="B3601" s="7" t="str">
        <f t="shared" si="779"/>
        <v>306</v>
      </c>
      <c r="C3601" s="7" t="s">
        <v>2916</v>
      </c>
      <c r="D3601" s="7" t="s">
        <v>2584</v>
      </c>
      <c r="E3601" s="7" t="str">
        <f>"陈欣惠"</f>
        <v>陈欣惠</v>
      </c>
      <c r="F3601" s="7" t="str">
        <f t="shared" si="784"/>
        <v>女</v>
      </c>
      <c r="G3601" s="7" t="s">
        <v>2950</v>
      </c>
      <c r="H3601" s="8"/>
    </row>
    <row r="3602" ht="25" customHeight="1" spans="1:8">
      <c r="A3602" s="6">
        <v>3600</v>
      </c>
      <c r="B3602" s="7" t="str">
        <f t="shared" si="779"/>
        <v>306</v>
      </c>
      <c r="C3602" s="7" t="s">
        <v>2916</v>
      </c>
      <c r="D3602" s="7" t="s">
        <v>2584</v>
      </c>
      <c r="E3602" s="7" t="str">
        <f>"范灵霜"</f>
        <v>范灵霜</v>
      </c>
      <c r="F3602" s="7" t="str">
        <f t="shared" si="784"/>
        <v>女</v>
      </c>
      <c r="G3602" s="7" t="s">
        <v>2951</v>
      </c>
      <c r="H3602" s="8"/>
    </row>
    <row r="3603" ht="25" customHeight="1" spans="1:8">
      <c r="A3603" s="6">
        <v>3601</v>
      </c>
      <c r="B3603" s="7" t="str">
        <f t="shared" si="779"/>
        <v>306</v>
      </c>
      <c r="C3603" s="7" t="s">
        <v>2916</v>
      </c>
      <c r="D3603" s="7" t="s">
        <v>2584</v>
      </c>
      <c r="E3603" s="7" t="str">
        <f>"高怡佳"</f>
        <v>高怡佳</v>
      </c>
      <c r="F3603" s="7" t="str">
        <f t="shared" si="784"/>
        <v>女</v>
      </c>
      <c r="G3603" s="7" t="s">
        <v>2952</v>
      </c>
      <c r="H3603" s="8"/>
    </row>
    <row r="3604" ht="25" customHeight="1" spans="1:8">
      <c r="A3604" s="6">
        <v>3602</v>
      </c>
      <c r="B3604" s="7" t="str">
        <f t="shared" si="779"/>
        <v>306</v>
      </c>
      <c r="C3604" s="7" t="s">
        <v>2916</v>
      </c>
      <c r="D3604" s="7" t="s">
        <v>2584</v>
      </c>
      <c r="E3604" s="7" t="str">
        <f>"李振莹"</f>
        <v>李振莹</v>
      </c>
      <c r="F3604" s="7" t="str">
        <f t="shared" si="784"/>
        <v>女</v>
      </c>
      <c r="G3604" s="7" t="s">
        <v>2953</v>
      </c>
      <c r="H3604" s="8"/>
    </row>
    <row r="3605" ht="25" customHeight="1" spans="1:8">
      <c r="A3605" s="6">
        <v>3603</v>
      </c>
      <c r="B3605" s="7" t="str">
        <f t="shared" si="779"/>
        <v>306</v>
      </c>
      <c r="C3605" s="7" t="s">
        <v>2916</v>
      </c>
      <c r="D3605" s="7" t="s">
        <v>2584</v>
      </c>
      <c r="E3605" s="7" t="str">
        <f>"全思语"</f>
        <v>全思语</v>
      </c>
      <c r="F3605" s="7" t="str">
        <f t="shared" si="784"/>
        <v>女</v>
      </c>
      <c r="G3605" s="7" t="s">
        <v>2954</v>
      </c>
      <c r="H3605" s="8"/>
    </row>
    <row r="3606" ht="25" customHeight="1" spans="1:8">
      <c r="A3606" s="6">
        <v>3604</v>
      </c>
      <c r="B3606" s="7" t="str">
        <f t="shared" si="779"/>
        <v>306</v>
      </c>
      <c r="C3606" s="7" t="s">
        <v>2916</v>
      </c>
      <c r="D3606" s="7" t="s">
        <v>2584</v>
      </c>
      <c r="E3606" s="7" t="str">
        <f>"唐杰"</f>
        <v>唐杰</v>
      </c>
      <c r="F3606" s="7" t="str">
        <f t="shared" si="784"/>
        <v>女</v>
      </c>
      <c r="G3606" s="7" t="s">
        <v>2955</v>
      </c>
      <c r="H3606" s="8"/>
    </row>
    <row r="3607" ht="25" customHeight="1" spans="1:8">
      <c r="A3607" s="6">
        <v>3605</v>
      </c>
      <c r="B3607" s="7" t="str">
        <f t="shared" si="779"/>
        <v>306</v>
      </c>
      <c r="C3607" s="7" t="s">
        <v>2916</v>
      </c>
      <c r="D3607" s="7" t="s">
        <v>2584</v>
      </c>
      <c r="E3607" s="7" t="str">
        <f>"王昱文"</f>
        <v>王昱文</v>
      </c>
      <c r="F3607" s="7" t="str">
        <f t="shared" si="784"/>
        <v>女</v>
      </c>
      <c r="G3607" s="7" t="s">
        <v>2956</v>
      </c>
      <c r="H3607" s="8"/>
    </row>
    <row r="3608" ht="25" customHeight="1" spans="1:8">
      <c r="A3608" s="6">
        <v>3606</v>
      </c>
      <c r="B3608" s="7" t="str">
        <f t="shared" si="779"/>
        <v>306</v>
      </c>
      <c r="C3608" s="7" t="s">
        <v>2916</v>
      </c>
      <c r="D3608" s="7" t="s">
        <v>2584</v>
      </c>
      <c r="E3608" s="7" t="str">
        <f>"陈建文"</f>
        <v>陈建文</v>
      </c>
      <c r="F3608" s="7" t="str">
        <f>"男"</f>
        <v>男</v>
      </c>
      <c r="G3608" s="7" t="s">
        <v>2957</v>
      </c>
      <c r="H3608" s="8"/>
    </row>
    <row r="3609" ht="25" customHeight="1" spans="1:8">
      <c r="A3609" s="6">
        <v>3607</v>
      </c>
      <c r="B3609" s="7" t="str">
        <f t="shared" si="779"/>
        <v>306</v>
      </c>
      <c r="C3609" s="7" t="s">
        <v>2916</v>
      </c>
      <c r="D3609" s="7" t="s">
        <v>2584</v>
      </c>
      <c r="E3609" s="7" t="str">
        <f>"付晓雯"</f>
        <v>付晓雯</v>
      </c>
      <c r="F3609" s="7" t="str">
        <f t="shared" ref="F3609:F3611" si="785">"女"</f>
        <v>女</v>
      </c>
      <c r="G3609" s="7" t="s">
        <v>2958</v>
      </c>
      <c r="H3609" s="8"/>
    </row>
    <row r="3610" ht="25" customHeight="1" spans="1:8">
      <c r="A3610" s="6">
        <v>3608</v>
      </c>
      <c r="B3610" s="7" t="str">
        <f t="shared" si="779"/>
        <v>306</v>
      </c>
      <c r="C3610" s="7" t="s">
        <v>2916</v>
      </c>
      <c r="D3610" s="7" t="s">
        <v>2584</v>
      </c>
      <c r="E3610" s="7" t="str">
        <f>"吴晶晶"</f>
        <v>吴晶晶</v>
      </c>
      <c r="F3610" s="7" t="str">
        <f t="shared" si="785"/>
        <v>女</v>
      </c>
      <c r="G3610" s="7" t="s">
        <v>2959</v>
      </c>
      <c r="H3610" s="8"/>
    </row>
    <row r="3611" ht="25" customHeight="1" spans="1:8">
      <c r="A3611" s="6">
        <v>3609</v>
      </c>
      <c r="B3611" s="7" t="str">
        <f t="shared" si="779"/>
        <v>306</v>
      </c>
      <c r="C3611" s="7" t="s">
        <v>2916</v>
      </c>
      <c r="D3611" s="7" t="s">
        <v>2584</v>
      </c>
      <c r="E3611" s="7" t="str">
        <f>"苏丽晓"</f>
        <v>苏丽晓</v>
      </c>
      <c r="F3611" s="7" t="str">
        <f t="shared" si="785"/>
        <v>女</v>
      </c>
      <c r="G3611" s="7" t="s">
        <v>2960</v>
      </c>
      <c r="H3611" s="8"/>
    </row>
    <row r="3612" ht="25" customHeight="1" spans="1:8">
      <c r="A3612" s="6">
        <v>3610</v>
      </c>
      <c r="B3612" s="7" t="str">
        <f t="shared" si="779"/>
        <v>306</v>
      </c>
      <c r="C3612" s="7" t="s">
        <v>2916</v>
      </c>
      <c r="D3612" s="7" t="s">
        <v>2584</v>
      </c>
      <c r="E3612" s="7" t="str">
        <f>"谭信"</f>
        <v>谭信</v>
      </c>
      <c r="F3612" s="7" t="str">
        <f>"男"</f>
        <v>男</v>
      </c>
      <c r="G3612" s="7" t="s">
        <v>94</v>
      </c>
      <c r="H3612" s="8"/>
    </row>
    <row r="3613" ht="25" customHeight="1" spans="1:8">
      <c r="A3613" s="6">
        <v>3611</v>
      </c>
      <c r="B3613" s="7" t="str">
        <f t="shared" si="779"/>
        <v>306</v>
      </c>
      <c r="C3613" s="7" t="s">
        <v>2916</v>
      </c>
      <c r="D3613" s="7" t="s">
        <v>2584</v>
      </c>
      <c r="E3613" s="7" t="str">
        <f>"朱薇薇"</f>
        <v>朱薇薇</v>
      </c>
      <c r="F3613" s="7" t="str">
        <f t="shared" ref="F3613:F3616" si="786">"女"</f>
        <v>女</v>
      </c>
      <c r="G3613" s="7" t="s">
        <v>2961</v>
      </c>
      <c r="H3613" s="8"/>
    </row>
    <row r="3614" ht="25" customHeight="1" spans="1:8">
      <c r="A3614" s="6">
        <v>3612</v>
      </c>
      <c r="B3614" s="7" t="str">
        <f t="shared" si="779"/>
        <v>306</v>
      </c>
      <c r="C3614" s="7" t="s">
        <v>2916</v>
      </c>
      <c r="D3614" s="7" t="s">
        <v>2584</v>
      </c>
      <c r="E3614" s="7" t="str">
        <f>"谢爱娜"</f>
        <v>谢爱娜</v>
      </c>
      <c r="F3614" s="7" t="str">
        <f t="shared" si="786"/>
        <v>女</v>
      </c>
      <c r="G3614" s="7" t="s">
        <v>2962</v>
      </c>
      <c r="H3614" s="8"/>
    </row>
    <row r="3615" ht="25" customHeight="1" spans="1:8">
      <c r="A3615" s="6">
        <v>3613</v>
      </c>
      <c r="B3615" s="7" t="str">
        <f t="shared" si="779"/>
        <v>306</v>
      </c>
      <c r="C3615" s="7" t="s">
        <v>2916</v>
      </c>
      <c r="D3615" s="7" t="s">
        <v>2584</v>
      </c>
      <c r="E3615" s="7" t="str">
        <f>"陈思琪"</f>
        <v>陈思琪</v>
      </c>
      <c r="F3615" s="7" t="str">
        <f t="shared" si="786"/>
        <v>女</v>
      </c>
      <c r="G3615" s="7" t="s">
        <v>2963</v>
      </c>
      <c r="H3615" s="8"/>
    </row>
    <row r="3616" ht="25" customHeight="1" spans="1:8">
      <c r="A3616" s="6">
        <v>3614</v>
      </c>
      <c r="B3616" s="7" t="str">
        <f t="shared" si="779"/>
        <v>306</v>
      </c>
      <c r="C3616" s="7" t="s">
        <v>2916</v>
      </c>
      <c r="D3616" s="7" t="s">
        <v>2584</v>
      </c>
      <c r="E3616" s="7" t="str">
        <f>"杨雪"</f>
        <v>杨雪</v>
      </c>
      <c r="F3616" s="7" t="str">
        <f t="shared" si="786"/>
        <v>女</v>
      </c>
      <c r="G3616" s="7" t="s">
        <v>2964</v>
      </c>
      <c r="H3616" s="8"/>
    </row>
    <row r="3617" ht="25" customHeight="1" spans="1:8">
      <c r="A3617" s="6">
        <v>3615</v>
      </c>
      <c r="B3617" s="7" t="str">
        <f t="shared" si="779"/>
        <v>306</v>
      </c>
      <c r="C3617" s="7" t="s">
        <v>2916</v>
      </c>
      <c r="D3617" s="7" t="s">
        <v>2584</v>
      </c>
      <c r="E3617" s="7" t="str">
        <f>"李广珍"</f>
        <v>李广珍</v>
      </c>
      <c r="F3617" s="7" t="str">
        <f t="shared" ref="F3617:F3622" si="787">"男"</f>
        <v>男</v>
      </c>
      <c r="G3617" s="7" t="s">
        <v>2965</v>
      </c>
      <c r="H3617" s="8"/>
    </row>
    <row r="3618" ht="25" customHeight="1" spans="1:8">
      <c r="A3618" s="6">
        <v>3616</v>
      </c>
      <c r="B3618" s="7" t="str">
        <f t="shared" ref="B3618:B3637" si="788">"306"</f>
        <v>306</v>
      </c>
      <c r="C3618" s="7" t="s">
        <v>2916</v>
      </c>
      <c r="D3618" s="7" t="s">
        <v>2584</v>
      </c>
      <c r="E3618" s="7" t="str">
        <f>"王珊"</f>
        <v>王珊</v>
      </c>
      <c r="F3618" s="7" t="str">
        <f t="shared" ref="F3618:F3620" si="789">"女"</f>
        <v>女</v>
      </c>
      <c r="G3618" s="7" t="s">
        <v>2966</v>
      </c>
      <c r="H3618" s="8"/>
    </row>
    <row r="3619" ht="25" customHeight="1" spans="1:8">
      <c r="A3619" s="6">
        <v>3617</v>
      </c>
      <c r="B3619" s="7" t="str">
        <f t="shared" si="788"/>
        <v>306</v>
      </c>
      <c r="C3619" s="7" t="s">
        <v>2916</v>
      </c>
      <c r="D3619" s="7" t="s">
        <v>2584</v>
      </c>
      <c r="E3619" s="7" t="str">
        <f>"李文凤"</f>
        <v>李文凤</v>
      </c>
      <c r="F3619" s="7" t="str">
        <f t="shared" si="789"/>
        <v>女</v>
      </c>
      <c r="G3619" s="7" t="s">
        <v>2967</v>
      </c>
      <c r="H3619" s="8"/>
    </row>
    <row r="3620" ht="25" customHeight="1" spans="1:8">
      <c r="A3620" s="6">
        <v>3618</v>
      </c>
      <c r="B3620" s="7" t="str">
        <f t="shared" si="788"/>
        <v>306</v>
      </c>
      <c r="C3620" s="7" t="s">
        <v>2916</v>
      </c>
      <c r="D3620" s="7" t="s">
        <v>2584</v>
      </c>
      <c r="E3620" s="7" t="str">
        <f>"董翠浪"</f>
        <v>董翠浪</v>
      </c>
      <c r="F3620" s="7" t="str">
        <f t="shared" si="789"/>
        <v>女</v>
      </c>
      <c r="G3620" s="7" t="s">
        <v>1163</v>
      </c>
      <c r="H3620" s="8"/>
    </row>
    <row r="3621" ht="25" customHeight="1" spans="1:8">
      <c r="A3621" s="6">
        <v>3619</v>
      </c>
      <c r="B3621" s="7" t="str">
        <f t="shared" si="788"/>
        <v>306</v>
      </c>
      <c r="C3621" s="7" t="s">
        <v>2916</v>
      </c>
      <c r="D3621" s="7" t="s">
        <v>2584</v>
      </c>
      <c r="E3621" s="7" t="str">
        <f>"曾福"</f>
        <v>曾福</v>
      </c>
      <c r="F3621" s="7" t="str">
        <f t="shared" si="787"/>
        <v>男</v>
      </c>
      <c r="G3621" s="7" t="s">
        <v>913</v>
      </c>
      <c r="H3621" s="8"/>
    </row>
    <row r="3622" ht="25" customHeight="1" spans="1:8">
      <c r="A3622" s="6">
        <v>3620</v>
      </c>
      <c r="B3622" s="7" t="str">
        <f t="shared" si="788"/>
        <v>306</v>
      </c>
      <c r="C3622" s="7" t="s">
        <v>2916</v>
      </c>
      <c r="D3622" s="7" t="s">
        <v>2584</v>
      </c>
      <c r="E3622" s="7" t="str">
        <f>"徐秋实"</f>
        <v>徐秋实</v>
      </c>
      <c r="F3622" s="7" t="str">
        <f t="shared" si="787"/>
        <v>男</v>
      </c>
      <c r="G3622" s="7" t="s">
        <v>2968</v>
      </c>
      <c r="H3622" s="8"/>
    </row>
    <row r="3623" ht="25" customHeight="1" spans="1:8">
      <c r="A3623" s="6">
        <v>3621</v>
      </c>
      <c r="B3623" s="7" t="str">
        <f t="shared" si="788"/>
        <v>306</v>
      </c>
      <c r="C3623" s="7" t="s">
        <v>2916</v>
      </c>
      <c r="D3623" s="7" t="s">
        <v>2584</v>
      </c>
      <c r="E3623" s="7" t="str">
        <f>"方宇潇"</f>
        <v>方宇潇</v>
      </c>
      <c r="F3623" s="7" t="str">
        <f t="shared" ref="F3623:F3628" si="790">"女"</f>
        <v>女</v>
      </c>
      <c r="G3623" s="7" t="s">
        <v>2969</v>
      </c>
      <c r="H3623" s="8"/>
    </row>
    <row r="3624" ht="25" customHeight="1" spans="1:8">
      <c r="A3624" s="6">
        <v>3622</v>
      </c>
      <c r="B3624" s="7" t="str">
        <f t="shared" si="788"/>
        <v>306</v>
      </c>
      <c r="C3624" s="7" t="s">
        <v>2916</v>
      </c>
      <c r="D3624" s="7" t="s">
        <v>2584</v>
      </c>
      <c r="E3624" s="7" t="str">
        <f>"林成梁"</f>
        <v>林成梁</v>
      </c>
      <c r="F3624" s="7" t="str">
        <f>"男"</f>
        <v>男</v>
      </c>
      <c r="G3624" s="7" t="s">
        <v>2970</v>
      </c>
      <c r="H3624" s="8"/>
    </row>
    <row r="3625" ht="25" customHeight="1" spans="1:8">
      <c r="A3625" s="6">
        <v>3623</v>
      </c>
      <c r="B3625" s="7" t="str">
        <f t="shared" si="788"/>
        <v>306</v>
      </c>
      <c r="C3625" s="7" t="s">
        <v>2916</v>
      </c>
      <c r="D3625" s="7" t="s">
        <v>2584</v>
      </c>
      <c r="E3625" s="7" t="str">
        <f>"林雯"</f>
        <v>林雯</v>
      </c>
      <c r="F3625" s="7" t="str">
        <f t="shared" si="790"/>
        <v>女</v>
      </c>
      <c r="G3625" s="7" t="s">
        <v>471</v>
      </c>
      <c r="H3625" s="8"/>
    </row>
    <row r="3626" ht="25" customHeight="1" spans="1:8">
      <c r="A3626" s="6">
        <v>3624</v>
      </c>
      <c r="B3626" s="7" t="str">
        <f t="shared" si="788"/>
        <v>306</v>
      </c>
      <c r="C3626" s="7" t="s">
        <v>2916</v>
      </c>
      <c r="D3626" s="7" t="s">
        <v>2584</v>
      </c>
      <c r="E3626" s="7" t="str">
        <f>"吴小英"</f>
        <v>吴小英</v>
      </c>
      <c r="F3626" s="7" t="str">
        <f t="shared" si="790"/>
        <v>女</v>
      </c>
      <c r="G3626" s="7" t="s">
        <v>2971</v>
      </c>
      <c r="H3626" s="8"/>
    </row>
    <row r="3627" ht="25" customHeight="1" spans="1:8">
      <c r="A3627" s="6">
        <v>3625</v>
      </c>
      <c r="B3627" s="7" t="str">
        <f t="shared" si="788"/>
        <v>306</v>
      </c>
      <c r="C3627" s="7" t="s">
        <v>2916</v>
      </c>
      <c r="D3627" s="7" t="s">
        <v>2584</v>
      </c>
      <c r="E3627" s="7" t="str">
        <f>"陈莎莉"</f>
        <v>陈莎莉</v>
      </c>
      <c r="F3627" s="7" t="str">
        <f t="shared" si="790"/>
        <v>女</v>
      </c>
      <c r="G3627" s="7" t="s">
        <v>790</v>
      </c>
      <c r="H3627" s="8"/>
    </row>
    <row r="3628" ht="25" customHeight="1" spans="1:8">
      <c r="A3628" s="6">
        <v>3626</v>
      </c>
      <c r="B3628" s="7" t="str">
        <f t="shared" si="788"/>
        <v>306</v>
      </c>
      <c r="C3628" s="7" t="s">
        <v>2916</v>
      </c>
      <c r="D3628" s="7" t="s">
        <v>2584</v>
      </c>
      <c r="E3628" s="7" t="str">
        <f>"薛妹妍"</f>
        <v>薛妹妍</v>
      </c>
      <c r="F3628" s="7" t="str">
        <f t="shared" si="790"/>
        <v>女</v>
      </c>
      <c r="G3628" s="7" t="s">
        <v>2897</v>
      </c>
      <c r="H3628" s="8"/>
    </row>
    <row r="3629" ht="25" customHeight="1" spans="1:8">
      <c r="A3629" s="6">
        <v>3627</v>
      </c>
      <c r="B3629" s="7" t="str">
        <f t="shared" si="788"/>
        <v>306</v>
      </c>
      <c r="C3629" s="7" t="s">
        <v>2916</v>
      </c>
      <c r="D3629" s="7" t="s">
        <v>2584</v>
      </c>
      <c r="E3629" s="7" t="str">
        <f>"郭学海"</f>
        <v>郭学海</v>
      </c>
      <c r="F3629" s="7" t="str">
        <f>"男"</f>
        <v>男</v>
      </c>
      <c r="G3629" s="7" t="s">
        <v>1955</v>
      </c>
      <c r="H3629" s="8"/>
    </row>
    <row r="3630" ht="25" customHeight="1" spans="1:8">
      <c r="A3630" s="6">
        <v>3628</v>
      </c>
      <c r="B3630" s="7" t="str">
        <f t="shared" si="788"/>
        <v>306</v>
      </c>
      <c r="C3630" s="7" t="s">
        <v>2916</v>
      </c>
      <c r="D3630" s="7" t="s">
        <v>2584</v>
      </c>
      <c r="E3630" s="7" t="str">
        <f>"陈凡"</f>
        <v>陈凡</v>
      </c>
      <c r="F3630" s="7" t="str">
        <f t="shared" ref="F3630:F3637" si="791">"女"</f>
        <v>女</v>
      </c>
      <c r="G3630" s="7" t="s">
        <v>2972</v>
      </c>
      <c r="H3630" s="8"/>
    </row>
    <row r="3631" ht="25" customHeight="1" spans="1:8">
      <c r="A3631" s="6">
        <v>3629</v>
      </c>
      <c r="B3631" s="7" t="str">
        <f t="shared" si="788"/>
        <v>306</v>
      </c>
      <c r="C3631" s="7" t="s">
        <v>2916</v>
      </c>
      <c r="D3631" s="7" t="s">
        <v>2584</v>
      </c>
      <c r="E3631" s="7" t="str">
        <f>"邹吉高娃"</f>
        <v>邹吉高娃</v>
      </c>
      <c r="F3631" s="7" t="str">
        <f t="shared" si="791"/>
        <v>女</v>
      </c>
      <c r="G3631" s="7" t="s">
        <v>2973</v>
      </c>
      <c r="H3631" s="8"/>
    </row>
    <row r="3632" ht="25" customHeight="1" spans="1:8">
      <c r="A3632" s="6">
        <v>3630</v>
      </c>
      <c r="B3632" s="7" t="str">
        <f t="shared" si="788"/>
        <v>306</v>
      </c>
      <c r="C3632" s="7" t="s">
        <v>2916</v>
      </c>
      <c r="D3632" s="7" t="s">
        <v>2584</v>
      </c>
      <c r="E3632" s="7" t="str">
        <f>"李欣鞠"</f>
        <v>李欣鞠</v>
      </c>
      <c r="F3632" s="7" t="str">
        <f t="shared" si="791"/>
        <v>女</v>
      </c>
      <c r="G3632" s="7" t="s">
        <v>2974</v>
      </c>
      <c r="H3632" s="8"/>
    </row>
    <row r="3633" ht="25" customHeight="1" spans="1:8">
      <c r="A3633" s="6">
        <v>3631</v>
      </c>
      <c r="B3633" s="7" t="str">
        <f t="shared" si="788"/>
        <v>306</v>
      </c>
      <c r="C3633" s="7" t="s">
        <v>2916</v>
      </c>
      <c r="D3633" s="7" t="s">
        <v>2584</v>
      </c>
      <c r="E3633" s="7" t="str">
        <f>"符冰"</f>
        <v>符冰</v>
      </c>
      <c r="F3633" s="7" t="str">
        <f t="shared" si="791"/>
        <v>女</v>
      </c>
      <c r="G3633" s="7" t="s">
        <v>2975</v>
      </c>
      <c r="H3633" s="8"/>
    </row>
    <row r="3634" ht="25" customHeight="1" spans="1:8">
      <c r="A3634" s="6">
        <v>3632</v>
      </c>
      <c r="B3634" s="7" t="str">
        <f t="shared" si="788"/>
        <v>306</v>
      </c>
      <c r="C3634" s="7" t="s">
        <v>2916</v>
      </c>
      <c r="D3634" s="7" t="s">
        <v>2584</v>
      </c>
      <c r="E3634" s="7" t="str">
        <f>"林嗣青"</f>
        <v>林嗣青</v>
      </c>
      <c r="F3634" s="7" t="str">
        <f t="shared" si="791"/>
        <v>女</v>
      </c>
      <c r="G3634" s="7" t="s">
        <v>1433</v>
      </c>
      <c r="H3634" s="8"/>
    </row>
    <row r="3635" ht="25" customHeight="1" spans="1:8">
      <c r="A3635" s="6">
        <v>3633</v>
      </c>
      <c r="B3635" s="7" t="str">
        <f t="shared" si="788"/>
        <v>306</v>
      </c>
      <c r="C3635" s="7" t="s">
        <v>2916</v>
      </c>
      <c r="D3635" s="7" t="s">
        <v>2584</v>
      </c>
      <c r="E3635" s="7" t="str">
        <f>"郭雯华"</f>
        <v>郭雯华</v>
      </c>
      <c r="F3635" s="7" t="str">
        <f t="shared" si="791"/>
        <v>女</v>
      </c>
      <c r="G3635" s="7" t="s">
        <v>2976</v>
      </c>
      <c r="H3635" s="8"/>
    </row>
    <row r="3636" ht="25" customHeight="1" spans="1:8">
      <c r="A3636" s="6">
        <v>3634</v>
      </c>
      <c r="B3636" s="7" t="str">
        <f t="shared" si="788"/>
        <v>306</v>
      </c>
      <c r="C3636" s="7" t="s">
        <v>2916</v>
      </c>
      <c r="D3636" s="7" t="s">
        <v>2584</v>
      </c>
      <c r="E3636" s="7" t="str">
        <f>"邢楚楚"</f>
        <v>邢楚楚</v>
      </c>
      <c r="F3636" s="7" t="str">
        <f t="shared" si="791"/>
        <v>女</v>
      </c>
      <c r="G3636" s="7" t="s">
        <v>10</v>
      </c>
      <c r="H3636" s="8"/>
    </row>
    <row r="3637" ht="25" customHeight="1" spans="1:8">
      <c r="A3637" s="6">
        <v>3635</v>
      </c>
      <c r="B3637" s="7" t="str">
        <f t="shared" si="788"/>
        <v>306</v>
      </c>
      <c r="C3637" s="7" t="s">
        <v>2916</v>
      </c>
      <c r="D3637" s="7" t="s">
        <v>2584</v>
      </c>
      <c r="E3637" s="7" t="str">
        <f>"叶心意"</f>
        <v>叶心意</v>
      </c>
      <c r="F3637" s="7" t="str">
        <f t="shared" si="791"/>
        <v>女</v>
      </c>
      <c r="G3637" s="7" t="s">
        <v>2103</v>
      </c>
      <c r="H3637" s="8"/>
    </row>
    <row r="3638" ht="25" customHeight="1" spans="1:8">
      <c r="A3638" s="6">
        <v>3636</v>
      </c>
      <c r="B3638" s="7" t="str">
        <f t="shared" ref="B3638:B3695" si="792">"307"</f>
        <v>307</v>
      </c>
      <c r="C3638" s="7" t="s">
        <v>2977</v>
      </c>
      <c r="D3638" s="7" t="s">
        <v>2584</v>
      </c>
      <c r="E3638" s="7" t="str">
        <f>"常泽宇"</f>
        <v>常泽宇</v>
      </c>
      <c r="F3638" s="7" t="str">
        <f t="shared" ref="F3638:F3642" si="793">"男"</f>
        <v>男</v>
      </c>
      <c r="G3638" s="7" t="s">
        <v>2978</v>
      </c>
      <c r="H3638" s="8"/>
    </row>
    <row r="3639" ht="25" customHeight="1" spans="1:8">
      <c r="A3639" s="6">
        <v>3637</v>
      </c>
      <c r="B3639" s="7" t="str">
        <f t="shared" si="792"/>
        <v>307</v>
      </c>
      <c r="C3639" s="7" t="s">
        <v>2977</v>
      </c>
      <c r="D3639" s="7" t="s">
        <v>2584</v>
      </c>
      <c r="E3639" s="7" t="str">
        <f>"郭佳琪"</f>
        <v>郭佳琪</v>
      </c>
      <c r="F3639" s="7" t="str">
        <f t="shared" ref="F3639:F3653" si="794">"女"</f>
        <v>女</v>
      </c>
      <c r="G3639" s="7" t="s">
        <v>2979</v>
      </c>
      <c r="H3639" s="8"/>
    </row>
    <row r="3640" ht="25" customHeight="1" spans="1:8">
      <c r="A3640" s="6">
        <v>3638</v>
      </c>
      <c r="B3640" s="7" t="str">
        <f t="shared" si="792"/>
        <v>307</v>
      </c>
      <c r="C3640" s="7" t="s">
        <v>2977</v>
      </c>
      <c r="D3640" s="7" t="s">
        <v>2584</v>
      </c>
      <c r="E3640" s="7" t="str">
        <f>"陈珍珍"</f>
        <v>陈珍珍</v>
      </c>
      <c r="F3640" s="7" t="str">
        <f t="shared" si="794"/>
        <v>女</v>
      </c>
      <c r="G3640" s="7" t="s">
        <v>2980</v>
      </c>
      <c r="H3640" s="8"/>
    </row>
    <row r="3641" ht="25" customHeight="1" spans="1:8">
      <c r="A3641" s="6">
        <v>3639</v>
      </c>
      <c r="B3641" s="7" t="str">
        <f t="shared" si="792"/>
        <v>307</v>
      </c>
      <c r="C3641" s="7" t="s">
        <v>2977</v>
      </c>
      <c r="D3641" s="7" t="s">
        <v>2584</v>
      </c>
      <c r="E3641" s="7" t="str">
        <f>"刘陈泽"</f>
        <v>刘陈泽</v>
      </c>
      <c r="F3641" s="7" t="str">
        <f t="shared" si="793"/>
        <v>男</v>
      </c>
      <c r="G3641" s="7" t="s">
        <v>2981</v>
      </c>
      <c r="H3641" s="8"/>
    </row>
    <row r="3642" ht="25" customHeight="1" spans="1:8">
      <c r="A3642" s="6">
        <v>3640</v>
      </c>
      <c r="B3642" s="7" t="str">
        <f t="shared" si="792"/>
        <v>307</v>
      </c>
      <c r="C3642" s="7" t="s">
        <v>2977</v>
      </c>
      <c r="D3642" s="7" t="s">
        <v>2584</v>
      </c>
      <c r="E3642" s="7" t="str">
        <f>"都梦飞"</f>
        <v>都梦飞</v>
      </c>
      <c r="F3642" s="7" t="str">
        <f t="shared" si="793"/>
        <v>男</v>
      </c>
      <c r="G3642" s="7" t="s">
        <v>2982</v>
      </c>
      <c r="H3642" s="8"/>
    </row>
    <row r="3643" ht="25" customHeight="1" spans="1:8">
      <c r="A3643" s="6">
        <v>3641</v>
      </c>
      <c r="B3643" s="7" t="str">
        <f t="shared" si="792"/>
        <v>307</v>
      </c>
      <c r="C3643" s="7" t="s">
        <v>2977</v>
      </c>
      <c r="D3643" s="7" t="s">
        <v>2584</v>
      </c>
      <c r="E3643" s="7" t="str">
        <f>"林亚帆"</f>
        <v>林亚帆</v>
      </c>
      <c r="F3643" s="7" t="str">
        <f t="shared" si="794"/>
        <v>女</v>
      </c>
      <c r="G3643" s="7" t="s">
        <v>2983</v>
      </c>
      <c r="H3643" s="8"/>
    </row>
    <row r="3644" ht="25" customHeight="1" spans="1:8">
      <c r="A3644" s="6">
        <v>3642</v>
      </c>
      <c r="B3644" s="7" t="str">
        <f t="shared" si="792"/>
        <v>307</v>
      </c>
      <c r="C3644" s="7" t="s">
        <v>2977</v>
      </c>
      <c r="D3644" s="7" t="s">
        <v>2584</v>
      </c>
      <c r="E3644" s="7" t="str">
        <f>"王小慧"</f>
        <v>王小慧</v>
      </c>
      <c r="F3644" s="7" t="str">
        <f t="shared" si="794"/>
        <v>女</v>
      </c>
      <c r="G3644" s="7" t="s">
        <v>2036</v>
      </c>
      <c r="H3644" s="8"/>
    </row>
    <row r="3645" ht="25" customHeight="1" spans="1:8">
      <c r="A3645" s="6">
        <v>3643</v>
      </c>
      <c r="B3645" s="7" t="str">
        <f t="shared" si="792"/>
        <v>307</v>
      </c>
      <c r="C3645" s="7" t="s">
        <v>2977</v>
      </c>
      <c r="D3645" s="7" t="s">
        <v>2584</v>
      </c>
      <c r="E3645" s="7" t="str">
        <f>"黄晗情"</f>
        <v>黄晗情</v>
      </c>
      <c r="F3645" s="7" t="str">
        <f t="shared" si="794"/>
        <v>女</v>
      </c>
      <c r="G3645" s="7" t="s">
        <v>2984</v>
      </c>
      <c r="H3645" s="8"/>
    </row>
    <row r="3646" ht="25" customHeight="1" spans="1:8">
      <c r="A3646" s="6">
        <v>3644</v>
      </c>
      <c r="B3646" s="7" t="str">
        <f t="shared" si="792"/>
        <v>307</v>
      </c>
      <c r="C3646" s="7" t="s">
        <v>2977</v>
      </c>
      <c r="D3646" s="7" t="s">
        <v>2584</v>
      </c>
      <c r="E3646" s="7" t="str">
        <f>"周永菲"</f>
        <v>周永菲</v>
      </c>
      <c r="F3646" s="7" t="str">
        <f t="shared" si="794"/>
        <v>女</v>
      </c>
      <c r="G3646" s="7" t="s">
        <v>2657</v>
      </c>
      <c r="H3646" s="8"/>
    </row>
    <row r="3647" ht="25" customHeight="1" spans="1:8">
      <c r="A3647" s="6">
        <v>3645</v>
      </c>
      <c r="B3647" s="7" t="str">
        <f t="shared" si="792"/>
        <v>307</v>
      </c>
      <c r="C3647" s="7" t="s">
        <v>2977</v>
      </c>
      <c r="D3647" s="7" t="s">
        <v>2584</v>
      </c>
      <c r="E3647" s="7" t="str">
        <f>"王桃瑞"</f>
        <v>王桃瑞</v>
      </c>
      <c r="F3647" s="7" t="str">
        <f t="shared" si="794"/>
        <v>女</v>
      </c>
      <c r="G3647" s="7" t="s">
        <v>2985</v>
      </c>
      <c r="H3647" s="8"/>
    </row>
    <row r="3648" ht="25" customHeight="1" spans="1:8">
      <c r="A3648" s="6">
        <v>3646</v>
      </c>
      <c r="B3648" s="7" t="str">
        <f t="shared" si="792"/>
        <v>307</v>
      </c>
      <c r="C3648" s="7" t="s">
        <v>2977</v>
      </c>
      <c r="D3648" s="7" t="s">
        <v>2584</v>
      </c>
      <c r="E3648" s="7" t="str">
        <f>"陈金灿"</f>
        <v>陈金灿</v>
      </c>
      <c r="F3648" s="7" t="str">
        <f t="shared" si="794"/>
        <v>女</v>
      </c>
      <c r="G3648" s="7" t="s">
        <v>2986</v>
      </c>
      <c r="H3648" s="8"/>
    </row>
    <row r="3649" ht="25" customHeight="1" spans="1:8">
      <c r="A3649" s="6">
        <v>3647</v>
      </c>
      <c r="B3649" s="7" t="str">
        <f t="shared" si="792"/>
        <v>307</v>
      </c>
      <c r="C3649" s="7" t="s">
        <v>2977</v>
      </c>
      <c r="D3649" s="7" t="s">
        <v>2584</v>
      </c>
      <c r="E3649" s="7" t="str">
        <f>"张凤兰"</f>
        <v>张凤兰</v>
      </c>
      <c r="F3649" s="7" t="str">
        <f t="shared" si="794"/>
        <v>女</v>
      </c>
      <c r="G3649" s="7" t="s">
        <v>749</v>
      </c>
      <c r="H3649" s="8"/>
    </row>
    <row r="3650" ht="25" customHeight="1" spans="1:8">
      <c r="A3650" s="6">
        <v>3648</v>
      </c>
      <c r="B3650" s="7" t="str">
        <f t="shared" si="792"/>
        <v>307</v>
      </c>
      <c r="C3650" s="7" t="s">
        <v>2977</v>
      </c>
      <c r="D3650" s="7" t="s">
        <v>2584</v>
      </c>
      <c r="E3650" s="7" t="str">
        <f>"张瑜"</f>
        <v>张瑜</v>
      </c>
      <c r="F3650" s="7" t="str">
        <f t="shared" si="794"/>
        <v>女</v>
      </c>
      <c r="G3650" s="7" t="s">
        <v>1493</v>
      </c>
      <c r="H3650" s="8"/>
    </row>
    <row r="3651" ht="25" customHeight="1" spans="1:8">
      <c r="A3651" s="6">
        <v>3649</v>
      </c>
      <c r="B3651" s="7" t="str">
        <f t="shared" si="792"/>
        <v>307</v>
      </c>
      <c r="C3651" s="7" t="s">
        <v>2977</v>
      </c>
      <c r="D3651" s="7" t="s">
        <v>2584</v>
      </c>
      <c r="E3651" s="7" t="str">
        <f>"符爱蓉"</f>
        <v>符爱蓉</v>
      </c>
      <c r="F3651" s="7" t="str">
        <f t="shared" si="794"/>
        <v>女</v>
      </c>
      <c r="G3651" s="7" t="s">
        <v>246</v>
      </c>
      <c r="H3651" s="8"/>
    </row>
    <row r="3652" ht="25" customHeight="1" spans="1:8">
      <c r="A3652" s="6">
        <v>3650</v>
      </c>
      <c r="B3652" s="7" t="str">
        <f t="shared" si="792"/>
        <v>307</v>
      </c>
      <c r="C3652" s="7" t="s">
        <v>2977</v>
      </c>
      <c r="D3652" s="7" t="s">
        <v>2584</v>
      </c>
      <c r="E3652" s="7" t="str">
        <f>"郑玲玲"</f>
        <v>郑玲玲</v>
      </c>
      <c r="F3652" s="7" t="str">
        <f t="shared" si="794"/>
        <v>女</v>
      </c>
      <c r="G3652" s="7" t="s">
        <v>2987</v>
      </c>
      <c r="H3652" s="8"/>
    </row>
    <row r="3653" ht="25" customHeight="1" spans="1:8">
      <c r="A3653" s="6">
        <v>3651</v>
      </c>
      <c r="B3653" s="7" t="str">
        <f t="shared" si="792"/>
        <v>307</v>
      </c>
      <c r="C3653" s="7" t="s">
        <v>2977</v>
      </c>
      <c r="D3653" s="7" t="s">
        <v>2584</v>
      </c>
      <c r="E3653" s="7" t="str">
        <f>"吴妃"</f>
        <v>吴妃</v>
      </c>
      <c r="F3653" s="7" t="str">
        <f t="shared" si="794"/>
        <v>女</v>
      </c>
      <c r="G3653" s="7" t="s">
        <v>2143</v>
      </c>
      <c r="H3653" s="8"/>
    </row>
    <row r="3654" ht="25" customHeight="1" spans="1:8">
      <c r="A3654" s="6">
        <v>3652</v>
      </c>
      <c r="B3654" s="7" t="str">
        <f t="shared" si="792"/>
        <v>307</v>
      </c>
      <c r="C3654" s="7" t="s">
        <v>2977</v>
      </c>
      <c r="D3654" s="7" t="s">
        <v>2584</v>
      </c>
      <c r="E3654" s="7" t="str">
        <f>"李发海"</f>
        <v>李发海</v>
      </c>
      <c r="F3654" s="7" t="str">
        <f>"男"</f>
        <v>男</v>
      </c>
      <c r="G3654" s="7" t="s">
        <v>2988</v>
      </c>
      <c r="H3654" s="8"/>
    </row>
    <row r="3655" ht="25" customHeight="1" spans="1:8">
      <c r="A3655" s="6">
        <v>3653</v>
      </c>
      <c r="B3655" s="7" t="str">
        <f t="shared" si="792"/>
        <v>307</v>
      </c>
      <c r="C3655" s="7" t="s">
        <v>2977</v>
      </c>
      <c r="D3655" s="7" t="s">
        <v>2584</v>
      </c>
      <c r="E3655" s="7" t="str">
        <f>"符怡洁"</f>
        <v>符怡洁</v>
      </c>
      <c r="F3655" s="7" t="str">
        <f t="shared" ref="F3655:F3669" si="795">"女"</f>
        <v>女</v>
      </c>
      <c r="G3655" s="7" t="s">
        <v>1757</v>
      </c>
      <c r="H3655" s="8"/>
    </row>
    <row r="3656" ht="25" customHeight="1" spans="1:8">
      <c r="A3656" s="6">
        <v>3654</v>
      </c>
      <c r="B3656" s="7" t="str">
        <f t="shared" si="792"/>
        <v>307</v>
      </c>
      <c r="C3656" s="7" t="s">
        <v>2977</v>
      </c>
      <c r="D3656" s="7" t="s">
        <v>2584</v>
      </c>
      <c r="E3656" s="7" t="str">
        <f>"董学翩"</f>
        <v>董学翩</v>
      </c>
      <c r="F3656" s="7" t="str">
        <f t="shared" si="795"/>
        <v>女</v>
      </c>
      <c r="G3656" s="7" t="s">
        <v>2989</v>
      </c>
      <c r="H3656" s="8"/>
    </row>
    <row r="3657" ht="25" customHeight="1" spans="1:8">
      <c r="A3657" s="6">
        <v>3655</v>
      </c>
      <c r="B3657" s="7" t="str">
        <f t="shared" si="792"/>
        <v>307</v>
      </c>
      <c r="C3657" s="7" t="s">
        <v>2977</v>
      </c>
      <c r="D3657" s="7" t="s">
        <v>2584</v>
      </c>
      <c r="E3657" s="7" t="str">
        <f>"吴淑贞"</f>
        <v>吴淑贞</v>
      </c>
      <c r="F3657" s="7" t="str">
        <f t="shared" si="795"/>
        <v>女</v>
      </c>
      <c r="G3657" s="7" t="s">
        <v>1553</v>
      </c>
      <c r="H3657" s="8"/>
    </row>
    <row r="3658" ht="25" customHeight="1" spans="1:8">
      <c r="A3658" s="6">
        <v>3656</v>
      </c>
      <c r="B3658" s="7" t="str">
        <f t="shared" si="792"/>
        <v>307</v>
      </c>
      <c r="C3658" s="7" t="s">
        <v>2977</v>
      </c>
      <c r="D3658" s="7" t="s">
        <v>2584</v>
      </c>
      <c r="E3658" s="7" t="str">
        <f>"杨碧娜"</f>
        <v>杨碧娜</v>
      </c>
      <c r="F3658" s="7" t="str">
        <f t="shared" si="795"/>
        <v>女</v>
      </c>
      <c r="G3658" s="7" t="s">
        <v>2990</v>
      </c>
      <c r="H3658" s="8"/>
    </row>
    <row r="3659" ht="25" customHeight="1" spans="1:8">
      <c r="A3659" s="6">
        <v>3657</v>
      </c>
      <c r="B3659" s="7" t="str">
        <f t="shared" si="792"/>
        <v>307</v>
      </c>
      <c r="C3659" s="7" t="s">
        <v>2977</v>
      </c>
      <c r="D3659" s="7" t="s">
        <v>2584</v>
      </c>
      <c r="E3659" s="7" t="str">
        <f>"金玺"</f>
        <v>金玺</v>
      </c>
      <c r="F3659" s="7" t="str">
        <f t="shared" si="795"/>
        <v>女</v>
      </c>
      <c r="G3659" s="7" t="s">
        <v>2991</v>
      </c>
      <c r="H3659" s="8"/>
    </row>
    <row r="3660" ht="25" customHeight="1" spans="1:8">
      <c r="A3660" s="6">
        <v>3658</v>
      </c>
      <c r="B3660" s="7" t="str">
        <f t="shared" si="792"/>
        <v>307</v>
      </c>
      <c r="C3660" s="7" t="s">
        <v>2977</v>
      </c>
      <c r="D3660" s="7" t="s">
        <v>2584</v>
      </c>
      <c r="E3660" s="7" t="str">
        <f>"左琦琦"</f>
        <v>左琦琦</v>
      </c>
      <c r="F3660" s="7" t="str">
        <f t="shared" si="795"/>
        <v>女</v>
      </c>
      <c r="G3660" s="7" t="s">
        <v>2992</v>
      </c>
      <c r="H3660" s="8"/>
    </row>
    <row r="3661" ht="25" customHeight="1" spans="1:8">
      <c r="A3661" s="6">
        <v>3659</v>
      </c>
      <c r="B3661" s="7" t="str">
        <f t="shared" si="792"/>
        <v>307</v>
      </c>
      <c r="C3661" s="7" t="s">
        <v>2977</v>
      </c>
      <c r="D3661" s="7" t="s">
        <v>2584</v>
      </c>
      <c r="E3661" s="7" t="str">
        <f>"刘弈涵"</f>
        <v>刘弈涵</v>
      </c>
      <c r="F3661" s="7" t="str">
        <f t="shared" si="795"/>
        <v>女</v>
      </c>
      <c r="G3661" s="7" t="s">
        <v>2993</v>
      </c>
      <c r="H3661" s="8"/>
    </row>
    <row r="3662" ht="25" customHeight="1" spans="1:8">
      <c r="A3662" s="6">
        <v>3660</v>
      </c>
      <c r="B3662" s="7" t="str">
        <f t="shared" si="792"/>
        <v>307</v>
      </c>
      <c r="C3662" s="7" t="s">
        <v>2977</v>
      </c>
      <c r="D3662" s="7" t="s">
        <v>2584</v>
      </c>
      <c r="E3662" s="7" t="str">
        <f>"李玉娟"</f>
        <v>李玉娟</v>
      </c>
      <c r="F3662" s="7" t="str">
        <f t="shared" si="795"/>
        <v>女</v>
      </c>
      <c r="G3662" s="7" t="s">
        <v>2994</v>
      </c>
      <c r="H3662" s="8"/>
    </row>
    <row r="3663" ht="25" customHeight="1" spans="1:8">
      <c r="A3663" s="6">
        <v>3661</v>
      </c>
      <c r="B3663" s="7" t="str">
        <f t="shared" si="792"/>
        <v>307</v>
      </c>
      <c r="C3663" s="7" t="s">
        <v>2977</v>
      </c>
      <c r="D3663" s="7" t="s">
        <v>2584</v>
      </c>
      <c r="E3663" s="7" t="str">
        <f>"王娟"</f>
        <v>王娟</v>
      </c>
      <c r="F3663" s="7" t="str">
        <f t="shared" si="795"/>
        <v>女</v>
      </c>
      <c r="G3663" s="7" t="s">
        <v>2995</v>
      </c>
      <c r="H3663" s="8"/>
    </row>
    <row r="3664" ht="25" customHeight="1" spans="1:8">
      <c r="A3664" s="6">
        <v>3662</v>
      </c>
      <c r="B3664" s="7" t="str">
        <f t="shared" si="792"/>
        <v>307</v>
      </c>
      <c r="C3664" s="7" t="s">
        <v>2977</v>
      </c>
      <c r="D3664" s="7" t="s">
        <v>2584</v>
      </c>
      <c r="E3664" s="7" t="str">
        <f>"许永姝"</f>
        <v>许永姝</v>
      </c>
      <c r="F3664" s="7" t="str">
        <f t="shared" si="795"/>
        <v>女</v>
      </c>
      <c r="G3664" s="7" t="s">
        <v>2996</v>
      </c>
      <c r="H3664" s="8"/>
    </row>
    <row r="3665" ht="25" customHeight="1" spans="1:8">
      <c r="A3665" s="6">
        <v>3663</v>
      </c>
      <c r="B3665" s="7" t="str">
        <f t="shared" si="792"/>
        <v>307</v>
      </c>
      <c r="C3665" s="7" t="s">
        <v>2977</v>
      </c>
      <c r="D3665" s="7" t="s">
        <v>2584</v>
      </c>
      <c r="E3665" s="7" t="str">
        <f>"陈媚柳"</f>
        <v>陈媚柳</v>
      </c>
      <c r="F3665" s="7" t="str">
        <f t="shared" si="795"/>
        <v>女</v>
      </c>
      <c r="G3665" s="7" t="s">
        <v>2997</v>
      </c>
      <c r="H3665" s="8"/>
    </row>
    <row r="3666" ht="25" customHeight="1" spans="1:8">
      <c r="A3666" s="6">
        <v>3664</v>
      </c>
      <c r="B3666" s="7" t="str">
        <f t="shared" si="792"/>
        <v>307</v>
      </c>
      <c r="C3666" s="7" t="s">
        <v>2977</v>
      </c>
      <c r="D3666" s="7" t="s">
        <v>2584</v>
      </c>
      <c r="E3666" s="7" t="str">
        <f>"付娅"</f>
        <v>付娅</v>
      </c>
      <c r="F3666" s="7" t="str">
        <f t="shared" si="795"/>
        <v>女</v>
      </c>
      <c r="G3666" s="7" t="s">
        <v>2998</v>
      </c>
      <c r="H3666" s="8"/>
    </row>
    <row r="3667" ht="25" customHeight="1" spans="1:8">
      <c r="A3667" s="6">
        <v>3665</v>
      </c>
      <c r="B3667" s="7" t="str">
        <f t="shared" si="792"/>
        <v>307</v>
      </c>
      <c r="C3667" s="7" t="s">
        <v>2977</v>
      </c>
      <c r="D3667" s="7" t="s">
        <v>2584</v>
      </c>
      <c r="E3667" s="7" t="str">
        <f>"郭月"</f>
        <v>郭月</v>
      </c>
      <c r="F3667" s="7" t="str">
        <f t="shared" si="795"/>
        <v>女</v>
      </c>
      <c r="G3667" s="7" t="s">
        <v>2999</v>
      </c>
      <c r="H3667" s="8"/>
    </row>
    <row r="3668" ht="25" customHeight="1" spans="1:8">
      <c r="A3668" s="6">
        <v>3666</v>
      </c>
      <c r="B3668" s="7" t="str">
        <f t="shared" si="792"/>
        <v>307</v>
      </c>
      <c r="C3668" s="7" t="s">
        <v>2977</v>
      </c>
      <c r="D3668" s="7" t="s">
        <v>2584</v>
      </c>
      <c r="E3668" s="7" t="str">
        <f>"郭睿宇"</f>
        <v>郭睿宇</v>
      </c>
      <c r="F3668" s="7" t="str">
        <f t="shared" si="795"/>
        <v>女</v>
      </c>
      <c r="G3668" s="7" t="s">
        <v>3000</v>
      </c>
      <c r="H3668" s="8"/>
    </row>
    <row r="3669" ht="25" customHeight="1" spans="1:8">
      <c r="A3669" s="6">
        <v>3667</v>
      </c>
      <c r="B3669" s="7" t="str">
        <f t="shared" si="792"/>
        <v>307</v>
      </c>
      <c r="C3669" s="7" t="s">
        <v>2977</v>
      </c>
      <c r="D3669" s="7" t="s">
        <v>2584</v>
      </c>
      <c r="E3669" s="7" t="str">
        <f>"符莎易"</f>
        <v>符莎易</v>
      </c>
      <c r="F3669" s="7" t="str">
        <f t="shared" si="795"/>
        <v>女</v>
      </c>
      <c r="G3669" s="7" t="s">
        <v>3001</v>
      </c>
      <c r="H3669" s="8"/>
    </row>
    <row r="3670" ht="25" customHeight="1" spans="1:8">
      <c r="A3670" s="6">
        <v>3668</v>
      </c>
      <c r="B3670" s="7" t="str">
        <f t="shared" si="792"/>
        <v>307</v>
      </c>
      <c r="C3670" s="7" t="s">
        <v>2977</v>
      </c>
      <c r="D3670" s="7" t="s">
        <v>2584</v>
      </c>
      <c r="E3670" s="7" t="str">
        <f>"陈明福"</f>
        <v>陈明福</v>
      </c>
      <c r="F3670" s="7" t="str">
        <f t="shared" ref="F3670:F3675" si="796">"男"</f>
        <v>男</v>
      </c>
      <c r="G3670" s="7" t="s">
        <v>3002</v>
      </c>
      <c r="H3670" s="8"/>
    </row>
    <row r="3671" ht="25" customHeight="1" spans="1:8">
      <c r="A3671" s="6">
        <v>3669</v>
      </c>
      <c r="B3671" s="7" t="str">
        <f t="shared" si="792"/>
        <v>307</v>
      </c>
      <c r="C3671" s="7" t="s">
        <v>2977</v>
      </c>
      <c r="D3671" s="7" t="s">
        <v>2584</v>
      </c>
      <c r="E3671" s="7" t="str">
        <f>"顾晓芸"</f>
        <v>顾晓芸</v>
      </c>
      <c r="F3671" s="7" t="str">
        <f t="shared" ref="F3671:F3673" si="797">"女"</f>
        <v>女</v>
      </c>
      <c r="G3671" s="7" t="s">
        <v>3003</v>
      </c>
      <c r="H3671" s="8"/>
    </row>
    <row r="3672" ht="25" customHeight="1" spans="1:8">
      <c r="A3672" s="6">
        <v>3670</v>
      </c>
      <c r="B3672" s="7" t="str">
        <f t="shared" si="792"/>
        <v>307</v>
      </c>
      <c r="C3672" s="7" t="s">
        <v>2977</v>
      </c>
      <c r="D3672" s="7" t="s">
        <v>2584</v>
      </c>
      <c r="E3672" s="7" t="str">
        <f>"温婷婷"</f>
        <v>温婷婷</v>
      </c>
      <c r="F3672" s="7" t="str">
        <f t="shared" si="797"/>
        <v>女</v>
      </c>
      <c r="G3672" s="7" t="s">
        <v>1450</v>
      </c>
      <c r="H3672" s="8"/>
    </row>
    <row r="3673" ht="25" customHeight="1" spans="1:8">
      <c r="A3673" s="6">
        <v>3671</v>
      </c>
      <c r="B3673" s="7" t="str">
        <f t="shared" si="792"/>
        <v>307</v>
      </c>
      <c r="C3673" s="7" t="s">
        <v>2977</v>
      </c>
      <c r="D3673" s="7" t="s">
        <v>2584</v>
      </c>
      <c r="E3673" s="7" t="str">
        <f>"张玲丽"</f>
        <v>张玲丽</v>
      </c>
      <c r="F3673" s="7" t="str">
        <f t="shared" si="797"/>
        <v>女</v>
      </c>
      <c r="G3673" s="7" t="s">
        <v>3004</v>
      </c>
      <c r="H3673" s="8"/>
    </row>
    <row r="3674" ht="25" customHeight="1" spans="1:8">
      <c r="A3674" s="6">
        <v>3672</v>
      </c>
      <c r="B3674" s="7" t="str">
        <f t="shared" si="792"/>
        <v>307</v>
      </c>
      <c r="C3674" s="7" t="s">
        <v>2977</v>
      </c>
      <c r="D3674" s="7" t="s">
        <v>2584</v>
      </c>
      <c r="E3674" s="7" t="str">
        <f>"罗浩文"</f>
        <v>罗浩文</v>
      </c>
      <c r="F3674" s="7" t="str">
        <f t="shared" si="796"/>
        <v>男</v>
      </c>
      <c r="G3674" s="7" t="s">
        <v>3005</v>
      </c>
      <c r="H3674" s="8"/>
    </row>
    <row r="3675" ht="25" customHeight="1" spans="1:8">
      <c r="A3675" s="6">
        <v>3673</v>
      </c>
      <c r="B3675" s="7" t="str">
        <f t="shared" si="792"/>
        <v>307</v>
      </c>
      <c r="C3675" s="7" t="s">
        <v>2977</v>
      </c>
      <c r="D3675" s="7" t="s">
        <v>2584</v>
      </c>
      <c r="E3675" s="7" t="str">
        <f>"谢香德"</f>
        <v>谢香德</v>
      </c>
      <c r="F3675" s="7" t="str">
        <f t="shared" si="796"/>
        <v>男</v>
      </c>
      <c r="G3675" s="7" t="s">
        <v>3006</v>
      </c>
      <c r="H3675" s="8"/>
    </row>
    <row r="3676" ht="25" customHeight="1" spans="1:8">
      <c r="A3676" s="6">
        <v>3674</v>
      </c>
      <c r="B3676" s="7" t="str">
        <f t="shared" si="792"/>
        <v>307</v>
      </c>
      <c r="C3676" s="7" t="s">
        <v>2977</v>
      </c>
      <c r="D3676" s="7" t="s">
        <v>2584</v>
      </c>
      <c r="E3676" s="7" t="str">
        <f>"陈守娟"</f>
        <v>陈守娟</v>
      </c>
      <c r="F3676" s="7" t="str">
        <f>"女"</f>
        <v>女</v>
      </c>
      <c r="G3676" s="7" t="s">
        <v>3007</v>
      </c>
      <c r="H3676" s="8"/>
    </row>
    <row r="3677" ht="25" customHeight="1" spans="1:8">
      <c r="A3677" s="6">
        <v>3675</v>
      </c>
      <c r="B3677" s="7" t="str">
        <f t="shared" si="792"/>
        <v>307</v>
      </c>
      <c r="C3677" s="7" t="s">
        <v>2977</v>
      </c>
      <c r="D3677" s="7" t="s">
        <v>2584</v>
      </c>
      <c r="E3677" s="7" t="str">
        <f>"符积权"</f>
        <v>符积权</v>
      </c>
      <c r="F3677" s="7" t="str">
        <f t="shared" ref="F3677:F3680" si="798">"男"</f>
        <v>男</v>
      </c>
      <c r="G3677" s="7" t="s">
        <v>3008</v>
      </c>
      <c r="H3677" s="8"/>
    </row>
    <row r="3678" ht="25" customHeight="1" spans="1:8">
      <c r="A3678" s="6">
        <v>3676</v>
      </c>
      <c r="B3678" s="7" t="str">
        <f t="shared" si="792"/>
        <v>307</v>
      </c>
      <c r="C3678" s="7" t="s">
        <v>2977</v>
      </c>
      <c r="D3678" s="7" t="s">
        <v>2584</v>
      </c>
      <c r="E3678" s="7" t="str">
        <f>"吴昊"</f>
        <v>吴昊</v>
      </c>
      <c r="F3678" s="7" t="str">
        <f t="shared" si="798"/>
        <v>男</v>
      </c>
      <c r="G3678" s="7" t="s">
        <v>3009</v>
      </c>
      <c r="H3678" s="8"/>
    </row>
    <row r="3679" ht="25" customHeight="1" spans="1:8">
      <c r="A3679" s="6">
        <v>3677</v>
      </c>
      <c r="B3679" s="7" t="str">
        <f t="shared" si="792"/>
        <v>307</v>
      </c>
      <c r="C3679" s="7" t="s">
        <v>2977</v>
      </c>
      <c r="D3679" s="7" t="s">
        <v>2584</v>
      </c>
      <c r="E3679" s="7" t="str">
        <f>"李国清"</f>
        <v>李国清</v>
      </c>
      <c r="F3679" s="7" t="str">
        <f t="shared" si="798"/>
        <v>男</v>
      </c>
      <c r="G3679" s="7" t="s">
        <v>3010</v>
      </c>
      <c r="H3679" s="8"/>
    </row>
    <row r="3680" ht="25" customHeight="1" spans="1:8">
      <c r="A3680" s="6">
        <v>3678</v>
      </c>
      <c r="B3680" s="7" t="str">
        <f t="shared" si="792"/>
        <v>307</v>
      </c>
      <c r="C3680" s="7" t="s">
        <v>2977</v>
      </c>
      <c r="D3680" s="7" t="s">
        <v>2584</v>
      </c>
      <c r="E3680" s="7" t="str">
        <f>"李海生"</f>
        <v>李海生</v>
      </c>
      <c r="F3680" s="7" t="str">
        <f t="shared" si="798"/>
        <v>男</v>
      </c>
      <c r="G3680" s="7" t="s">
        <v>119</v>
      </c>
      <c r="H3680" s="8"/>
    </row>
    <row r="3681" ht="25" customHeight="1" spans="1:8">
      <c r="A3681" s="6">
        <v>3679</v>
      </c>
      <c r="B3681" s="7" t="str">
        <f t="shared" si="792"/>
        <v>307</v>
      </c>
      <c r="C3681" s="7" t="s">
        <v>2977</v>
      </c>
      <c r="D3681" s="7" t="s">
        <v>2584</v>
      </c>
      <c r="E3681" s="7" t="str">
        <f>"冀慧"</f>
        <v>冀慧</v>
      </c>
      <c r="F3681" s="7" t="str">
        <f t="shared" ref="F3681:F3699" si="799">"女"</f>
        <v>女</v>
      </c>
      <c r="G3681" s="7" t="s">
        <v>3011</v>
      </c>
      <c r="H3681" s="8"/>
    </row>
    <row r="3682" ht="25" customHeight="1" spans="1:8">
      <c r="A3682" s="6">
        <v>3680</v>
      </c>
      <c r="B3682" s="7" t="str">
        <f t="shared" si="792"/>
        <v>307</v>
      </c>
      <c r="C3682" s="7" t="s">
        <v>2977</v>
      </c>
      <c r="D3682" s="7" t="s">
        <v>2584</v>
      </c>
      <c r="E3682" s="7" t="str">
        <f>"邓哲娇"</f>
        <v>邓哲娇</v>
      </c>
      <c r="F3682" s="7" t="str">
        <f t="shared" si="799"/>
        <v>女</v>
      </c>
      <c r="G3682" s="7" t="s">
        <v>3012</v>
      </c>
      <c r="H3682" s="8"/>
    </row>
    <row r="3683" ht="25" customHeight="1" spans="1:8">
      <c r="A3683" s="6">
        <v>3681</v>
      </c>
      <c r="B3683" s="7" t="str">
        <f t="shared" si="792"/>
        <v>307</v>
      </c>
      <c r="C3683" s="7" t="s">
        <v>2977</v>
      </c>
      <c r="D3683" s="7" t="s">
        <v>2584</v>
      </c>
      <c r="E3683" s="7" t="str">
        <f>"高红玲"</f>
        <v>高红玲</v>
      </c>
      <c r="F3683" s="7" t="str">
        <f t="shared" si="799"/>
        <v>女</v>
      </c>
      <c r="G3683" s="7" t="s">
        <v>3013</v>
      </c>
      <c r="H3683" s="8"/>
    </row>
    <row r="3684" ht="25" customHeight="1" spans="1:8">
      <c r="A3684" s="6">
        <v>3682</v>
      </c>
      <c r="B3684" s="7" t="str">
        <f t="shared" si="792"/>
        <v>307</v>
      </c>
      <c r="C3684" s="7" t="s">
        <v>2977</v>
      </c>
      <c r="D3684" s="7" t="s">
        <v>2584</v>
      </c>
      <c r="E3684" s="7" t="str">
        <f>"李明岳"</f>
        <v>李明岳</v>
      </c>
      <c r="F3684" s="7" t="str">
        <f t="shared" si="799"/>
        <v>女</v>
      </c>
      <c r="G3684" s="7" t="s">
        <v>3014</v>
      </c>
      <c r="H3684" s="8"/>
    </row>
    <row r="3685" ht="25" customHeight="1" spans="1:8">
      <c r="A3685" s="6">
        <v>3683</v>
      </c>
      <c r="B3685" s="7" t="str">
        <f t="shared" si="792"/>
        <v>307</v>
      </c>
      <c r="C3685" s="7" t="s">
        <v>2977</v>
      </c>
      <c r="D3685" s="7" t="s">
        <v>2584</v>
      </c>
      <c r="E3685" s="7" t="str">
        <f>"谢一"</f>
        <v>谢一</v>
      </c>
      <c r="F3685" s="7" t="str">
        <f t="shared" si="799"/>
        <v>女</v>
      </c>
      <c r="G3685" s="7" t="s">
        <v>3015</v>
      </c>
      <c r="H3685" s="8"/>
    </row>
    <row r="3686" ht="25" customHeight="1" spans="1:8">
      <c r="A3686" s="6">
        <v>3684</v>
      </c>
      <c r="B3686" s="7" t="str">
        <f t="shared" si="792"/>
        <v>307</v>
      </c>
      <c r="C3686" s="7" t="s">
        <v>2977</v>
      </c>
      <c r="D3686" s="7" t="s">
        <v>2584</v>
      </c>
      <c r="E3686" s="7" t="str">
        <f>"羊萱翠"</f>
        <v>羊萱翠</v>
      </c>
      <c r="F3686" s="7" t="str">
        <f t="shared" si="799"/>
        <v>女</v>
      </c>
      <c r="G3686" s="7" t="s">
        <v>2540</v>
      </c>
      <c r="H3686" s="8"/>
    </row>
    <row r="3687" ht="25" customHeight="1" spans="1:8">
      <c r="A3687" s="6">
        <v>3685</v>
      </c>
      <c r="B3687" s="7" t="str">
        <f t="shared" si="792"/>
        <v>307</v>
      </c>
      <c r="C3687" s="7" t="s">
        <v>2977</v>
      </c>
      <c r="D3687" s="7" t="s">
        <v>2584</v>
      </c>
      <c r="E3687" s="7" t="str">
        <f>"吴霞"</f>
        <v>吴霞</v>
      </c>
      <c r="F3687" s="7" t="str">
        <f t="shared" si="799"/>
        <v>女</v>
      </c>
      <c r="G3687" s="7" t="s">
        <v>306</v>
      </c>
      <c r="H3687" s="8"/>
    </row>
    <row r="3688" ht="25" customHeight="1" spans="1:8">
      <c r="A3688" s="6">
        <v>3686</v>
      </c>
      <c r="B3688" s="7" t="str">
        <f t="shared" si="792"/>
        <v>307</v>
      </c>
      <c r="C3688" s="7" t="s">
        <v>2977</v>
      </c>
      <c r="D3688" s="7" t="s">
        <v>2584</v>
      </c>
      <c r="E3688" s="7" t="str">
        <f>"蒙晓漫"</f>
        <v>蒙晓漫</v>
      </c>
      <c r="F3688" s="7" t="str">
        <f t="shared" si="799"/>
        <v>女</v>
      </c>
      <c r="G3688" s="7" t="s">
        <v>3016</v>
      </c>
      <c r="H3688" s="8"/>
    </row>
    <row r="3689" ht="25" customHeight="1" spans="1:8">
      <c r="A3689" s="6">
        <v>3687</v>
      </c>
      <c r="B3689" s="7" t="str">
        <f t="shared" si="792"/>
        <v>307</v>
      </c>
      <c r="C3689" s="7" t="s">
        <v>2977</v>
      </c>
      <c r="D3689" s="7" t="s">
        <v>2584</v>
      </c>
      <c r="E3689" s="7" t="str">
        <f>"李鹏"</f>
        <v>李鹏</v>
      </c>
      <c r="F3689" s="7" t="str">
        <f t="shared" si="799"/>
        <v>女</v>
      </c>
      <c r="G3689" s="7" t="s">
        <v>732</v>
      </c>
      <c r="H3689" s="8"/>
    </row>
    <row r="3690" ht="25" customHeight="1" spans="1:8">
      <c r="A3690" s="6">
        <v>3688</v>
      </c>
      <c r="B3690" s="7" t="str">
        <f t="shared" si="792"/>
        <v>307</v>
      </c>
      <c r="C3690" s="7" t="s">
        <v>2977</v>
      </c>
      <c r="D3690" s="7" t="s">
        <v>2584</v>
      </c>
      <c r="E3690" s="7" t="str">
        <f>"陆思佳"</f>
        <v>陆思佳</v>
      </c>
      <c r="F3690" s="7" t="str">
        <f t="shared" si="799"/>
        <v>女</v>
      </c>
      <c r="G3690" s="7" t="s">
        <v>3017</v>
      </c>
      <c r="H3690" s="8"/>
    </row>
    <row r="3691" ht="25" customHeight="1" spans="1:8">
      <c r="A3691" s="6">
        <v>3689</v>
      </c>
      <c r="B3691" s="7" t="str">
        <f t="shared" si="792"/>
        <v>307</v>
      </c>
      <c r="C3691" s="7" t="s">
        <v>2977</v>
      </c>
      <c r="D3691" s="7" t="s">
        <v>2584</v>
      </c>
      <c r="E3691" s="7" t="str">
        <f>"孙婉"</f>
        <v>孙婉</v>
      </c>
      <c r="F3691" s="7" t="str">
        <f t="shared" si="799"/>
        <v>女</v>
      </c>
      <c r="G3691" s="7" t="s">
        <v>2897</v>
      </c>
      <c r="H3691" s="8"/>
    </row>
    <row r="3692" ht="25" customHeight="1" spans="1:8">
      <c r="A3692" s="6">
        <v>3690</v>
      </c>
      <c r="B3692" s="7" t="str">
        <f t="shared" si="792"/>
        <v>307</v>
      </c>
      <c r="C3692" s="7" t="s">
        <v>2977</v>
      </c>
      <c r="D3692" s="7" t="s">
        <v>2584</v>
      </c>
      <c r="E3692" s="7" t="str">
        <f>"苏巧宁"</f>
        <v>苏巧宁</v>
      </c>
      <c r="F3692" s="7" t="str">
        <f t="shared" si="799"/>
        <v>女</v>
      </c>
      <c r="G3692" s="7" t="s">
        <v>3018</v>
      </c>
      <c r="H3692" s="8"/>
    </row>
    <row r="3693" ht="25" customHeight="1" spans="1:8">
      <c r="A3693" s="6">
        <v>3691</v>
      </c>
      <c r="B3693" s="7" t="str">
        <f t="shared" si="792"/>
        <v>307</v>
      </c>
      <c r="C3693" s="7" t="s">
        <v>2977</v>
      </c>
      <c r="D3693" s="7" t="s">
        <v>2584</v>
      </c>
      <c r="E3693" s="7" t="str">
        <f>"何子涵"</f>
        <v>何子涵</v>
      </c>
      <c r="F3693" s="7" t="str">
        <f t="shared" si="799"/>
        <v>女</v>
      </c>
      <c r="G3693" s="7" t="s">
        <v>3019</v>
      </c>
      <c r="H3693" s="8"/>
    </row>
    <row r="3694" ht="25" customHeight="1" spans="1:8">
      <c r="A3694" s="6">
        <v>3692</v>
      </c>
      <c r="B3694" s="7" t="str">
        <f t="shared" si="792"/>
        <v>307</v>
      </c>
      <c r="C3694" s="7" t="s">
        <v>2977</v>
      </c>
      <c r="D3694" s="7" t="s">
        <v>2584</v>
      </c>
      <c r="E3694" s="7" t="str">
        <f>"罗飘"</f>
        <v>罗飘</v>
      </c>
      <c r="F3694" s="7" t="str">
        <f t="shared" si="799"/>
        <v>女</v>
      </c>
      <c r="G3694" s="7" t="s">
        <v>67</v>
      </c>
      <c r="H3694" s="8"/>
    </row>
    <row r="3695" ht="25" customHeight="1" spans="1:8">
      <c r="A3695" s="6">
        <v>3693</v>
      </c>
      <c r="B3695" s="7" t="str">
        <f t="shared" si="792"/>
        <v>307</v>
      </c>
      <c r="C3695" s="7" t="s">
        <v>2977</v>
      </c>
      <c r="D3695" s="7" t="s">
        <v>2584</v>
      </c>
      <c r="E3695" s="7" t="str">
        <f>"符方冰"</f>
        <v>符方冰</v>
      </c>
      <c r="F3695" s="7" t="str">
        <f t="shared" si="799"/>
        <v>女</v>
      </c>
      <c r="G3695" s="7" t="s">
        <v>1409</v>
      </c>
      <c r="H3695" s="8"/>
    </row>
    <row r="3696" ht="25" customHeight="1" spans="1:8">
      <c r="A3696" s="6">
        <v>3694</v>
      </c>
      <c r="B3696" s="7" t="str">
        <f t="shared" ref="B3696:B3757" si="800">"308"</f>
        <v>308</v>
      </c>
      <c r="C3696" s="7" t="s">
        <v>3020</v>
      </c>
      <c r="D3696" s="7" t="s">
        <v>2584</v>
      </c>
      <c r="E3696" s="7" t="str">
        <f>"梁瀧丹"</f>
        <v>梁瀧丹</v>
      </c>
      <c r="F3696" s="7" t="str">
        <f t="shared" si="799"/>
        <v>女</v>
      </c>
      <c r="G3696" s="7" t="s">
        <v>3021</v>
      </c>
      <c r="H3696" s="8"/>
    </row>
    <row r="3697" ht="25" customHeight="1" spans="1:8">
      <c r="A3697" s="6">
        <v>3695</v>
      </c>
      <c r="B3697" s="7" t="str">
        <f t="shared" si="800"/>
        <v>308</v>
      </c>
      <c r="C3697" s="7" t="s">
        <v>3020</v>
      </c>
      <c r="D3697" s="7" t="s">
        <v>2584</v>
      </c>
      <c r="E3697" s="7" t="str">
        <f>"刘书含"</f>
        <v>刘书含</v>
      </c>
      <c r="F3697" s="7" t="str">
        <f t="shared" si="799"/>
        <v>女</v>
      </c>
      <c r="G3697" s="7" t="s">
        <v>3022</v>
      </c>
      <c r="H3697" s="8"/>
    </row>
    <row r="3698" ht="25" customHeight="1" spans="1:8">
      <c r="A3698" s="6">
        <v>3696</v>
      </c>
      <c r="B3698" s="7" t="str">
        <f t="shared" si="800"/>
        <v>308</v>
      </c>
      <c r="C3698" s="7" t="s">
        <v>3020</v>
      </c>
      <c r="D3698" s="7" t="s">
        <v>2584</v>
      </c>
      <c r="E3698" s="7" t="str">
        <f>"邝佳颖"</f>
        <v>邝佳颖</v>
      </c>
      <c r="F3698" s="7" t="str">
        <f t="shared" si="799"/>
        <v>女</v>
      </c>
      <c r="G3698" s="7" t="s">
        <v>3023</v>
      </c>
      <c r="H3698" s="8"/>
    </row>
    <row r="3699" ht="25" customHeight="1" spans="1:8">
      <c r="A3699" s="6">
        <v>3697</v>
      </c>
      <c r="B3699" s="7" t="str">
        <f t="shared" si="800"/>
        <v>308</v>
      </c>
      <c r="C3699" s="7" t="s">
        <v>3020</v>
      </c>
      <c r="D3699" s="7" t="s">
        <v>2584</v>
      </c>
      <c r="E3699" s="7" t="str">
        <f>"金友缘"</f>
        <v>金友缘</v>
      </c>
      <c r="F3699" s="7" t="str">
        <f t="shared" si="799"/>
        <v>女</v>
      </c>
      <c r="G3699" s="7" t="s">
        <v>3024</v>
      </c>
      <c r="H3699" s="8"/>
    </row>
    <row r="3700" ht="25" customHeight="1" spans="1:8">
      <c r="A3700" s="6">
        <v>3698</v>
      </c>
      <c r="B3700" s="7" t="str">
        <f t="shared" si="800"/>
        <v>308</v>
      </c>
      <c r="C3700" s="7" t="s">
        <v>3020</v>
      </c>
      <c r="D3700" s="7" t="s">
        <v>2584</v>
      </c>
      <c r="E3700" s="7" t="str">
        <f>"张强强"</f>
        <v>张强强</v>
      </c>
      <c r="F3700" s="7" t="str">
        <f t="shared" ref="F3700:F3705" si="801">"男"</f>
        <v>男</v>
      </c>
      <c r="G3700" s="7" t="s">
        <v>1677</v>
      </c>
      <c r="H3700" s="8"/>
    </row>
    <row r="3701" ht="25" customHeight="1" spans="1:8">
      <c r="A3701" s="6">
        <v>3699</v>
      </c>
      <c r="B3701" s="7" t="str">
        <f t="shared" si="800"/>
        <v>308</v>
      </c>
      <c r="C3701" s="7" t="s">
        <v>3020</v>
      </c>
      <c r="D3701" s="7" t="s">
        <v>2584</v>
      </c>
      <c r="E3701" s="7" t="str">
        <f>"符之雄"</f>
        <v>符之雄</v>
      </c>
      <c r="F3701" s="7" t="str">
        <f t="shared" si="801"/>
        <v>男</v>
      </c>
      <c r="G3701" s="7" t="s">
        <v>3025</v>
      </c>
      <c r="H3701" s="8"/>
    </row>
    <row r="3702" ht="25" customHeight="1" spans="1:8">
      <c r="A3702" s="6">
        <v>3700</v>
      </c>
      <c r="B3702" s="7" t="str">
        <f t="shared" si="800"/>
        <v>308</v>
      </c>
      <c r="C3702" s="7" t="s">
        <v>3020</v>
      </c>
      <c r="D3702" s="7" t="s">
        <v>2584</v>
      </c>
      <c r="E3702" s="7" t="str">
        <f>"吴海香"</f>
        <v>吴海香</v>
      </c>
      <c r="F3702" s="7" t="str">
        <f t="shared" ref="F3702:F3704" si="802">"女"</f>
        <v>女</v>
      </c>
      <c r="G3702" s="7" t="s">
        <v>3026</v>
      </c>
      <c r="H3702" s="8"/>
    </row>
    <row r="3703" ht="25" customHeight="1" spans="1:8">
      <c r="A3703" s="6">
        <v>3701</v>
      </c>
      <c r="B3703" s="7" t="str">
        <f t="shared" si="800"/>
        <v>308</v>
      </c>
      <c r="C3703" s="7" t="s">
        <v>3020</v>
      </c>
      <c r="D3703" s="7" t="s">
        <v>2584</v>
      </c>
      <c r="E3703" s="7" t="str">
        <f>"唐成娟"</f>
        <v>唐成娟</v>
      </c>
      <c r="F3703" s="7" t="str">
        <f t="shared" si="802"/>
        <v>女</v>
      </c>
      <c r="G3703" s="7" t="s">
        <v>3027</v>
      </c>
      <c r="H3703" s="8"/>
    </row>
    <row r="3704" ht="25" customHeight="1" spans="1:8">
      <c r="A3704" s="6">
        <v>3702</v>
      </c>
      <c r="B3704" s="7" t="str">
        <f t="shared" si="800"/>
        <v>308</v>
      </c>
      <c r="C3704" s="7" t="s">
        <v>3020</v>
      </c>
      <c r="D3704" s="7" t="s">
        <v>2584</v>
      </c>
      <c r="E3704" s="7" t="str">
        <f>"梁琪潇"</f>
        <v>梁琪潇</v>
      </c>
      <c r="F3704" s="7" t="str">
        <f t="shared" si="802"/>
        <v>女</v>
      </c>
      <c r="G3704" s="7" t="s">
        <v>3028</v>
      </c>
      <c r="H3704" s="8"/>
    </row>
    <row r="3705" ht="25" customHeight="1" spans="1:8">
      <c r="A3705" s="6">
        <v>3703</v>
      </c>
      <c r="B3705" s="7" t="str">
        <f t="shared" si="800"/>
        <v>308</v>
      </c>
      <c r="C3705" s="7" t="s">
        <v>3020</v>
      </c>
      <c r="D3705" s="7" t="s">
        <v>2584</v>
      </c>
      <c r="E3705" s="7" t="str">
        <f>"蒋海阔"</f>
        <v>蒋海阔</v>
      </c>
      <c r="F3705" s="7" t="str">
        <f t="shared" si="801"/>
        <v>男</v>
      </c>
      <c r="G3705" s="7" t="s">
        <v>3029</v>
      </c>
      <c r="H3705" s="8"/>
    </row>
    <row r="3706" ht="25" customHeight="1" spans="1:8">
      <c r="A3706" s="6">
        <v>3704</v>
      </c>
      <c r="B3706" s="7" t="str">
        <f t="shared" si="800"/>
        <v>308</v>
      </c>
      <c r="C3706" s="7" t="s">
        <v>3020</v>
      </c>
      <c r="D3706" s="7" t="s">
        <v>2584</v>
      </c>
      <c r="E3706" s="7" t="str">
        <f>"李华"</f>
        <v>李华</v>
      </c>
      <c r="F3706" s="7" t="str">
        <f t="shared" ref="F3706:F3717" si="803">"女"</f>
        <v>女</v>
      </c>
      <c r="G3706" s="7" t="s">
        <v>3030</v>
      </c>
      <c r="H3706" s="8"/>
    </row>
    <row r="3707" ht="25" customHeight="1" spans="1:8">
      <c r="A3707" s="6">
        <v>3705</v>
      </c>
      <c r="B3707" s="7" t="str">
        <f t="shared" si="800"/>
        <v>308</v>
      </c>
      <c r="C3707" s="7" t="s">
        <v>3020</v>
      </c>
      <c r="D3707" s="7" t="s">
        <v>2584</v>
      </c>
      <c r="E3707" s="7" t="str">
        <f>"陈玲玲"</f>
        <v>陈玲玲</v>
      </c>
      <c r="F3707" s="7" t="str">
        <f t="shared" si="803"/>
        <v>女</v>
      </c>
      <c r="G3707" s="7" t="s">
        <v>2769</v>
      </c>
      <c r="H3707" s="8"/>
    </row>
    <row r="3708" ht="25" customHeight="1" spans="1:8">
      <c r="A3708" s="6">
        <v>3706</v>
      </c>
      <c r="B3708" s="7" t="str">
        <f t="shared" si="800"/>
        <v>308</v>
      </c>
      <c r="C3708" s="7" t="s">
        <v>3020</v>
      </c>
      <c r="D3708" s="7" t="s">
        <v>2584</v>
      </c>
      <c r="E3708" s="7" t="str">
        <f>"胡刚"</f>
        <v>胡刚</v>
      </c>
      <c r="F3708" s="7" t="str">
        <f>"男"</f>
        <v>男</v>
      </c>
      <c r="G3708" s="7" t="s">
        <v>3031</v>
      </c>
      <c r="H3708" s="8"/>
    </row>
    <row r="3709" ht="25" customHeight="1" spans="1:8">
      <c r="A3709" s="6">
        <v>3707</v>
      </c>
      <c r="B3709" s="7" t="str">
        <f t="shared" si="800"/>
        <v>308</v>
      </c>
      <c r="C3709" s="7" t="s">
        <v>3020</v>
      </c>
      <c r="D3709" s="7" t="s">
        <v>2584</v>
      </c>
      <c r="E3709" s="7" t="str">
        <f>"谭婆玉"</f>
        <v>谭婆玉</v>
      </c>
      <c r="F3709" s="7" t="str">
        <f t="shared" si="803"/>
        <v>女</v>
      </c>
      <c r="G3709" s="7" t="s">
        <v>2260</v>
      </c>
      <c r="H3709" s="8"/>
    </row>
    <row r="3710" ht="25" customHeight="1" spans="1:8">
      <c r="A3710" s="6">
        <v>3708</v>
      </c>
      <c r="B3710" s="7" t="str">
        <f t="shared" si="800"/>
        <v>308</v>
      </c>
      <c r="C3710" s="7" t="s">
        <v>3020</v>
      </c>
      <c r="D3710" s="7" t="s">
        <v>2584</v>
      </c>
      <c r="E3710" s="7" t="str">
        <f>"林菲"</f>
        <v>林菲</v>
      </c>
      <c r="F3710" s="7" t="str">
        <f t="shared" si="803"/>
        <v>女</v>
      </c>
      <c r="G3710" s="7" t="s">
        <v>1181</v>
      </c>
      <c r="H3710" s="8"/>
    </row>
    <row r="3711" ht="25" customHeight="1" spans="1:8">
      <c r="A3711" s="6">
        <v>3709</v>
      </c>
      <c r="B3711" s="7" t="str">
        <f t="shared" si="800"/>
        <v>308</v>
      </c>
      <c r="C3711" s="7" t="s">
        <v>3020</v>
      </c>
      <c r="D3711" s="7" t="s">
        <v>2584</v>
      </c>
      <c r="E3711" s="7" t="str">
        <f>"郑珍妮"</f>
        <v>郑珍妮</v>
      </c>
      <c r="F3711" s="7" t="str">
        <f t="shared" si="803"/>
        <v>女</v>
      </c>
      <c r="G3711" s="7" t="s">
        <v>292</v>
      </c>
      <c r="H3711" s="8"/>
    </row>
    <row r="3712" ht="25" customHeight="1" spans="1:8">
      <c r="A3712" s="6">
        <v>3710</v>
      </c>
      <c r="B3712" s="7" t="str">
        <f t="shared" si="800"/>
        <v>308</v>
      </c>
      <c r="C3712" s="7" t="s">
        <v>3020</v>
      </c>
      <c r="D3712" s="7" t="s">
        <v>2584</v>
      </c>
      <c r="E3712" s="7" t="str">
        <f>"郑诗韵"</f>
        <v>郑诗韵</v>
      </c>
      <c r="F3712" s="7" t="str">
        <f t="shared" si="803"/>
        <v>女</v>
      </c>
      <c r="G3712" s="7" t="s">
        <v>3032</v>
      </c>
      <c r="H3712" s="8"/>
    </row>
    <row r="3713" ht="25" customHeight="1" spans="1:8">
      <c r="A3713" s="6">
        <v>3711</v>
      </c>
      <c r="B3713" s="7" t="str">
        <f t="shared" si="800"/>
        <v>308</v>
      </c>
      <c r="C3713" s="7" t="s">
        <v>3020</v>
      </c>
      <c r="D3713" s="7" t="s">
        <v>2584</v>
      </c>
      <c r="E3713" s="7" t="str">
        <f>"邹晨阳"</f>
        <v>邹晨阳</v>
      </c>
      <c r="F3713" s="7" t="str">
        <f t="shared" si="803"/>
        <v>女</v>
      </c>
      <c r="G3713" s="7" t="s">
        <v>3033</v>
      </c>
      <c r="H3713" s="8"/>
    </row>
    <row r="3714" ht="25" customHeight="1" spans="1:8">
      <c r="A3714" s="6">
        <v>3712</v>
      </c>
      <c r="B3714" s="7" t="str">
        <f t="shared" si="800"/>
        <v>308</v>
      </c>
      <c r="C3714" s="7" t="s">
        <v>3020</v>
      </c>
      <c r="D3714" s="7" t="s">
        <v>2584</v>
      </c>
      <c r="E3714" s="7" t="str">
        <f>"赵菲"</f>
        <v>赵菲</v>
      </c>
      <c r="F3714" s="7" t="str">
        <f t="shared" si="803"/>
        <v>女</v>
      </c>
      <c r="G3714" s="7" t="s">
        <v>3034</v>
      </c>
      <c r="H3714" s="8"/>
    </row>
    <row r="3715" ht="25" customHeight="1" spans="1:8">
      <c r="A3715" s="6">
        <v>3713</v>
      </c>
      <c r="B3715" s="7" t="str">
        <f t="shared" si="800"/>
        <v>308</v>
      </c>
      <c r="C3715" s="7" t="s">
        <v>3020</v>
      </c>
      <c r="D3715" s="7" t="s">
        <v>2584</v>
      </c>
      <c r="E3715" s="7" t="str">
        <f>"赵秋婷"</f>
        <v>赵秋婷</v>
      </c>
      <c r="F3715" s="7" t="str">
        <f t="shared" si="803"/>
        <v>女</v>
      </c>
      <c r="G3715" s="7" t="s">
        <v>2594</v>
      </c>
      <c r="H3715" s="8"/>
    </row>
    <row r="3716" ht="25" customHeight="1" spans="1:8">
      <c r="A3716" s="6">
        <v>3714</v>
      </c>
      <c r="B3716" s="7" t="str">
        <f t="shared" si="800"/>
        <v>308</v>
      </c>
      <c r="C3716" s="7" t="s">
        <v>3020</v>
      </c>
      <c r="D3716" s="7" t="s">
        <v>2584</v>
      </c>
      <c r="E3716" s="7" t="str">
        <f>"马小妹"</f>
        <v>马小妹</v>
      </c>
      <c r="F3716" s="7" t="str">
        <f t="shared" si="803"/>
        <v>女</v>
      </c>
      <c r="G3716" s="7" t="s">
        <v>1274</v>
      </c>
      <c r="H3716" s="8"/>
    </row>
    <row r="3717" ht="25" customHeight="1" spans="1:8">
      <c r="A3717" s="6">
        <v>3715</v>
      </c>
      <c r="B3717" s="7" t="str">
        <f t="shared" si="800"/>
        <v>308</v>
      </c>
      <c r="C3717" s="7" t="s">
        <v>3020</v>
      </c>
      <c r="D3717" s="7" t="s">
        <v>2584</v>
      </c>
      <c r="E3717" s="7" t="str">
        <f>"房婷宜"</f>
        <v>房婷宜</v>
      </c>
      <c r="F3717" s="7" t="str">
        <f t="shared" si="803"/>
        <v>女</v>
      </c>
      <c r="G3717" s="7" t="s">
        <v>3035</v>
      </c>
      <c r="H3717" s="8"/>
    </row>
    <row r="3718" ht="25" customHeight="1" spans="1:8">
      <c r="A3718" s="6">
        <v>3716</v>
      </c>
      <c r="B3718" s="7" t="str">
        <f t="shared" si="800"/>
        <v>308</v>
      </c>
      <c r="C3718" s="7" t="s">
        <v>3020</v>
      </c>
      <c r="D3718" s="7" t="s">
        <v>2584</v>
      </c>
      <c r="E3718" s="7" t="str">
        <f>"吴昌柏"</f>
        <v>吴昌柏</v>
      </c>
      <c r="F3718" s="7" t="str">
        <f>"男"</f>
        <v>男</v>
      </c>
      <c r="G3718" s="7" t="s">
        <v>1328</v>
      </c>
      <c r="H3718" s="8"/>
    </row>
    <row r="3719" ht="25" customHeight="1" spans="1:8">
      <c r="A3719" s="6">
        <v>3717</v>
      </c>
      <c r="B3719" s="7" t="str">
        <f t="shared" si="800"/>
        <v>308</v>
      </c>
      <c r="C3719" s="7" t="s">
        <v>3020</v>
      </c>
      <c r="D3719" s="7" t="s">
        <v>2584</v>
      </c>
      <c r="E3719" s="7" t="str">
        <f>"严旭玉"</f>
        <v>严旭玉</v>
      </c>
      <c r="F3719" s="7" t="str">
        <f t="shared" ref="F3719:F3723" si="804">"女"</f>
        <v>女</v>
      </c>
      <c r="G3719" s="7" t="s">
        <v>2181</v>
      </c>
      <c r="H3719" s="8"/>
    </row>
    <row r="3720" ht="25" customHeight="1" spans="1:8">
      <c r="A3720" s="6">
        <v>3718</v>
      </c>
      <c r="B3720" s="7" t="str">
        <f t="shared" si="800"/>
        <v>308</v>
      </c>
      <c r="C3720" s="7" t="s">
        <v>3020</v>
      </c>
      <c r="D3720" s="7" t="s">
        <v>2584</v>
      </c>
      <c r="E3720" s="7" t="str">
        <f>"余蕙妍"</f>
        <v>余蕙妍</v>
      </c>
      <c r="F3720" s="7" t="str">
        <f t="shared" si="804"/>
        <v>女</v>
      </c>
      <c r="G3720" s="7" t="s">
        <v>3036</v>
      </c>
      <c r="H3720" s="8"/>
    </row>
    <row r="3721" ht="25" customHeight="1" spans="1:8">
      <c r="A3721" s="6">
        <v>3719</v>
      </c>
      <c r="B3721" s="7" t="str">
        <f t="shared" si="800"/>
        <v>308</v>
      </c>
      <c r="C3721" s="7" t="s">
        <v>3020</v>
      </c>
      <c r="D3721" s="7" t="s">
        <v>2584</v>
      </c>
      <c r="E3721" s="7" t="str">
        <f>"王家宇"</f>
        <v>王家宇</v>
      </c>
      <c r="F3721" s="7" t="str">
        <f>"男"</f>
        <v>男</v>
      </c>
      <c r="G3721" s="7" t="s">
        <v>3037</v>
      </c>
      <c r="H3721" s="8"/>
    </row>
    <row r="3722" ht="25" customHeight="1" spans="1:8">
      <c r="A3722" s="6">
        <v>3720</v>
      </c>
      <c r="B3722" s="7" t="str">
        <f t="shared" si="800"/>
        <v>308</v>
      </c>
      <c r="C3722" s="7" t="s">
        <v>3020</v>
      </c>
      <c r="D3722" s="7" t="s">
        <v>2584</v>
      </c>
      <c r="E3722" s="7" t="str">
        <f>"谭玲"</f>
        <v>谭玲</v>
      </c>
      <c r="F3722" s="7" t="str">
        <f t="shared" si="804"/>
        <v>女</v>
      </c>
      <c r="G3722" s="7" t="s">
        <v>3038</v>
      </c>
      <c r="H3722" s="8"/>
    </row>
    <row r="3723" ht="25" customHeight="1" spans="1:8">
      <c r="A3723" s="6">
        <v>3721</v>
      </c>
      <c r="B3723" s="7" t="str">
        <f t="shared" si="800"/>
        <v>308</v>
      </c>
      <c r="C3723" s="7" t="s">
        <v>3020</v>
      </c>
      <c r="D3723" s="7" t="s">
        <v>2584</v>
      </c>
      <c r="E3723" s="7" t="str">
        <f>"林丽婷"</f>
        <v>林丽婷</v>
      </c>
      <c r="F3723" s="7" t="str">
        <f t="shared" si="804"/>
        <v>女</v>
      </c>
      <c r="G3723" s="7" t="s">
        <v>3039</v>
      </c>
      <c r="H3723" s="8"/>
    </row>
    <row r="3724" ht="25" customHeight="1" spans="1:8">
      <c r="A3724" s="6">
        <v>3722</v>
      </c>
      <c r="B3724" s="7" t="str">
        <f t="shared" si="800"/>
        <v>308</v>
      </c>
      <c r="C3724" s="7" t="s">
        <v>3020</v>
      </c>
      <c r="D3724" s="7" t="s">
        <v>2584</v>
      </c>
      <c r="E3724" s="7" t="str">
        <f>"郑宏"</f>
        <v>郑宏</v>
      </c>
      <c r="F3724" s="7" t="str">
        <f>"男"</f>
        <v>男</v>
      </c>
      <c r="G3724" s="7" t="s">
        <v>3040</v>
      </c>
      <c r="H3724" s="8"/>
    </row>
    <row r="3725" ht="25" customHeight="1" spans="1:8">
      <c r="A3725" s="6">
        <v>3723</v>
      </c>
      <c r="B3725" s="7" t="str">
        <f t="shared" si="800"/>
        <v>308</v>
      </c>
      <c r="C3725" s="7" t="s">
        <v>3020</v>
      </c>
      <c r="D3725" s="7" t="s">
        <v>2584</v>
      </c>
      <c r="E3725" s="7" t="str">
        <f>"付佳琪"</f>
        <v>付佳琪</v>
      </c>
      <c r="F3725" s="7" t="str">
        <f t="shared" ref="F3725:F3729" si="805">"女"</f>
        <v>女</v>
      </c>
      <c r="G3725" s="7" t="s">
        <v>3041</v>
      </c>
      <c r="H3725" s="8"/>
    </row>
    <row r="3726" ht="25" customHeight="1" spans="1:8">
      <c r="A3726" s="6">
        <v>3724</v>
      </c>
      <c r="B3726" s="7" t="str">
        <f t="shared" si="800"/>
        <v>308</v>
      </c>
      <c r="C3726" s="7" t="s">
        <v>3020</v>
      </c>
      <c r="D3726" s="7" t="s">
        <v>2584</v>
      </c>
      <c r="E3726" s="7" t="str">
        <f>"郑精娥"</f>
        <v>郑精娥</v>
      </c>
      <c r="F3726" s="7" t="str">
        <f t="shared" si="805"/>
        <v>女</v>
      </c>
      <c r="G3726" s="7" t="s">
        <v>3042</v>
      </c>
      <c r="H3726" s="8"/>
    </row>
    <row r="3727" ht="25" customHeight="1" spans="1:8">
      <c r="A3727" s="6">
        <v>3725</v>
      </c>
      <c r="B3727" s="7" t="str">
        <f t="shared" si="800"/>
        <v>308</v>
      </c>
      <c r="C3727" s="7" t="s">
        <v>3020</v>
      </c>
      <c r="D3727" s="7" t="s">
        <v>2584</v>
      </c>
      <c r="E3727" s="7" t="str">
        <f>"游佳璐"</f>
        <v>游佳璐</v>
      </c>
      <c r="F3727" s="7" t="str">
        <f t="shared" si="805"/>
        <v>女</v>
      </c>
      <c r="G3727" s="7" t="s">
        <v>1355</v>
      </c>
      <c r="H3727" s="8"/>
    </row>
    <row r="3728" ht="25" customHeight="1" spans="1:8">
      <c r="A3728" s="6">
        <v>3726</v>
      </c>
      <c r="B3728" s="7" t="str">
        <f t="shared" si="800"/>
        <v>308</v>
      </c>
      <c r="C3728" s="7" t="s">
        <v>3020</v>
      </c>
      <c r="D3728" s="7" t="s">
        <v>2584</v>
      </c>
      <c r="E3728" s="7" t="str">
        <f>"何石玉"</f>
        <v>何石玉</v>
      </c>
      <c r="F3728" s="7" t="str">
        <f t="shared" si="805"/>
        <v>女</v>
      </c>
      <c r="G3728" s="7" t="s">
        <v>3001</v>
      </c>
      <c r="H3728" s="8"/>
    </row>
    <row r="3729" ht="25" customHeight="1" spans="1:8">
      <c r="A3729" s="6">
        <v>3727</v>
      </c>
      <c r="B3729" s="7" t="str">
        <f t="shared" si="800"/>
        <v>308</v>
      </c>
      <c r="C3729" s="7" t="s">
        <v>3020</v>
      </c>
      <c r="D3729" s="7" t="s">
        <v>2584</v>
      </c>
      <c r="E3729" s="7" t="str">
        <f>"冯大娇"</f>
        <v>冯大娇</v>
      </c>
      <c r="F3729" s="7" t="str">
        <f t="shared" si="805"/>
        <v>女</v>
      </c>
      <c r="G3729" s="7" t="s">
        <v>2435</v>
      </c>
      <c r="H3729" s="8"/>
    </row>
    <row r="3730" ht="25" customHeight="1" spans="1:8">
      <c r="A3730" s="6">
        <v>3728</v>
      </c>
      <c r="B3730" s="7" t="str">
        <f t="shared" si="800"/>
        <v>308</v>
      </c>
      <c r="C3730" s="7" t="s">
        <v>3020</v>
      </c>
      <c r="D3730" s="7" t="s">
        <v>2584</v>
      </c>
      <c r="E3730" s="7" t="str">
        <f>"刘锦松"</f>
        <v>刘锦松</v>
      </c>
      <c r="F3730" s="7" t="str">
        <f>"男"</f>
        <v>男</v>
      </c>
      <c r="G3730" s="7" t="s">
        <v>3043</v>
      </c>
      <c r="H3730" s="8"/>
    </row>
    <row r="3731" ht="25" customHeight="1" spans="1:8">
      <c r="A3731" s="6">
        <v>3729</v>
      </c>
      <c r="B3731" s="7" t="str">
        <f t="shared" si="800"/>
        <v>308</v>
      </c>
      <c r="C3731" s="7" t="s">
        <v>3020</v>
      </c>
      <c r="D3731" s="7" t="s">
        <v>2584</v>
      </c>
      <c r="E3731" s="7" t="str">
        <f>"张雅娴"</f>
        <v>张雅娴</v>
      </c>
      <c r="F3731" s="7" t="str">
        <f t="shared" ref="F3731:F3734" si="806">"女"</f>
        <v>女</v>
      </c>
      <c r="G3731" s="7" t="s">
        <v>3044</v>
      </c>
      <c r="H3731" s="8"/>
    </row>
    <row r="3732" ht="25" customHeight="1" spans="1:8">
      <c r="A3732" s="6">
        <v>3730</v>
      </c>
      <c r="B3732" s="7" t="str">
        <f t="shared" si="800"/>
        <v>308</v>
      </c>
      <c r="C3732" s="7" t="s">
        <v>3020</v>
      </c>
      <c r="D3732" s="7" t="s">
        <v>2584</v>
      </c>
      <c r="E3732" s="7" t="str">
        <f>"高双梅"</f>
        <v>高双梅</v>
      </c>
      <c r="F3732" s="7" t="str">
        <f t="shared" si="806"/>
        <v>女</v>
      </c>
      <c r="G3732" s="7" t="s">
        <v>1433</v>
      </c>
      <c r="H3732" s="8"/>
    </row>
    <row r="3733" ht="25" customHeight="1" spans="1:8">
      <c r="A3733" s="6">
        <v>3731</v>
      </c>
      <c r="B3733" s="7" t="str">
        <f t="shared" si="800"/>
        <v>308</v>
      </c>
      <c r="C3733" s="7" t="s">
        <v>3020</v>
      </c>
      <c r="D3733" s="7" t="s">
        <v>2584</v>
      </c>
      <c r="E3733" s="7" t="str">
        <f>"郭子维"</f>
        <v>郭子维</v>
      </c>
      <c r="F3733" s="7" t="str">
        <f t="shared" si="806"/>
        <v>女</v>
      </c>
      <c r="G3733" s="7" t="s">
        <v>3045</v>
      </c>
      <c r="H3733" s="8"/>
    </row>
    <row r="3734" ht="25" customHeight="1" spans="1:8">
      <c r="A3734" s="6">
        <v>3732</v>
      </c>
      <c r="B3734" s="7" t="str">
        <f t="shared" si="800"/>
        <v>308</v>
      </c>
      <c r="C3734" s="7" t="s">
        <v>3020</v>
      </c>
      <c r="D3734" s="7" t="s">
        <v>2584</v>
      </c>
      <c r="E3734" s="7" t="str">
        <f>"李俏"</f>
        <v>李俏</v>
      </c>
      <c r="F3734" s="7" t="str">
        <f t="shared" si="806"/>
        <v>女</v>
      </c>
      <c r="G3734" s="7" t="s">
        <v>3046</v>
      </c>
      <c r="H3734" s="8"/>
    </row>
    <row r="3735" ht="25" customHeight="1" spans="1:8">
      <c r="A3735" s="6">
        <v>3733</v>
      </c>
      <c r="B3735" s="7" t="str">
        <f t="shared" si="800"/>
        <v>308</v>
      </c>
      <c r="C3735" s="7" t="s">
        <v>3020</v>
      </c>
      <c r="D3735" s="7" t="s">
        <v>2584</v>
      </c>
      <c r="E3735" s="7" t="str">
        <f>"黄圣树"</f>
        <v>黄圣树</v>
      </c>
      <c r="F3735" s="7" t="str">
        <f t="shared" ref="F3735:F3740" si="807">"男"</f>
        <v>男</v>
      </c>
      <c r="G3735" s="7" t="s">
        <v>3047</v>
      </c>
      <c r="H3735" s="8"/>
    </row>
    <row r="3736" ht="25" customHeight="1" spans="1:8">
      <c r="A3736" s="6">
        <v>3734</v>
      </c>
      <c r="B3736" s="7" t="str">
        <f t="shared" si="800"/>
        <v>308</v>
      </c>
      <c r="C3736" s="7" t="s">
        <v>3020</v>
      </c>
      <c r="D3736" s="7" t="s">
        <v>2584</v>
      </c>
      <c r="E3736" s="7" t="str">
        <f>"陈荣慧"</f>
        <v>陈荣慧</v>
      </c>
      <c r="F3736" s="7" t="str">
        <f t="shared" ref="F3736:F3739" si="808">"女"</f>
        <v>女</v>
      </c>
      <c r="G3736" s="7" t="s">
        <v>3048</v>
      </c>
      <c r="H3736" s="8"/>
    </row>
    <row r="3737" ht="25" customHeight="1" spans="1:8">
      <c r="A3737" s="6">
        <v>3735</v>
      </c>
      <c r="B3737" s="7" t="str">
        <f t="shared" si="800"/>
        <v>308</v>
      </c>
      <c r="C3737" s="7" t="s">
        <v>3020</v>
      </c>
      <c r="D3737" s="7" t="s">
        <v>2584</v>
      </c>
      <c r="E3737" s="7" t="str">
        <f>"粟国安"</f>
        <v>粟国安</v>
      </c>
      <c r="F3737" s="7" t="str">
        <f t="shared" si="807"/>
        <v>男</v>
      </c>
      <c r="G3737" s="7" t="s">
        <v>3049</v>
      </c>
      <c r="H3737" s="8"/>
    </row>
    <row r="3738" ht="25" customHeight="1" spans="1:8">
      <c r="A3738" s="6">
        <v>3736</v>
      </c>
      <c r="B3738" s="7" t="str">
        <f t="shared" si="800"/>
        <v>308</v>
      </c>
      <c r="C3738" s="7" t="s">
        <v>3020</v>
      </c>
      <c r="D3738" s="7" t="s">
        <v>2584</v>
      </c>
      <c r="E3738" s="7" t="str">
        <f>"陈茜"</f>
        <v>陈茜</v>
      </c>
      <c r="F3738" s="7" t="str">
        <f t="shared" si="808"/>
        <v>女</v>
      </c>
      <c r="G3738" s="7" t="s">
        <v>481</v>
      </c>
      <c r="H3738" s="8"/>
    </row>
    <row r="3739" ht="25" customHeight="1" spans="1:8">
      <c r="A3739" s="6">
        <v>3737</v>
      </c>
      <c r="B3739" s="7" t="str">
        <f t="shared" si="800"/>
        <v>308</v>
      </c>
      <c r="C3739" s="7" t="s">
        <v>3020</v>
      </c>
      <c r="D3739" s="7" t="s">
        <v>2584</v>
      </c>
      <c r="E3739" s="7" t="str">
        <f>"洪佳林"</f>
        <v>洪佳林</v>
      </c>
      <c r="F3739" s="7" t="str">
        <f t="shared" si="808"/>
        <v>女</v>
      </c>
      <c r="G3739" s="7" t="s">
        <v>3050</v>
      </c>
      <c r="H3739" s="8"/>
    </row>
    <row r="3740" ht="25" customHeight="1" spans="1:8">
      <c r="A3740" s="6">
        <v>3738</v>
      </c>
      <c r="B3740" s="7" t="str">
        <f t="shared" si="800"/>
        <v>308</v>
      </c>
      <c r="C3740" s="7" t="s">
        <v>3020</v>
      </c>
      <c r="D3740" s="7" t="s">
        <v>2584</v>
      </c>
      <c r="E3740" s="7" t="str">
        <f>"符德君"</f>
        <v>符德君</v>
      </c>
      <c r="F3740" s="7" t="str">
        <f t="shared" si="807"/>
        <v>男</v>
      </c>
      <c r="G3740" s="7" t="s">
        <v>3051</v>
      </c>
      <c r="H3740" s="8"/>
    </row>
    <row r="3741" ht="25" customHeight="1" spans="1:8">
      <c r="A3741" s="6">
        <v>3739</v>
      </c>
      <c r="B3741" s="7" t="str">
        <f t="shared" si="800"/>
        <v>308</v>
      </c>
      <c r="C3741" s="7" t="s">
        <v>3020</v>
      </c>
      <c r="D3741" s="7" t="s">
        <v>2584</v>
      </c>
      <c r="E3741" s="7" t="str">
        <f>"刘君瑶"</f>
        <v>刘君瑶</v>
      </c>
      <c r="F3741" s="7" t="str">
        <f t="shared" ref="F3741:F3743" si="809">"女"</f>
        <v>女</v>
      </c>
      <c r="G3741" s="7" t="s">
        <v>3052</v>
      </c>
      <c r="H3741" s="8"/>
    </row>
    <row r="3742" ht="25" customHeight="1" spans="1:8">
      <c r="A3742" s="6">
        <v>3740</v>
      </c>
      <c r="B3742" s="7" t="str">
        <f t="shared" si="800"/>
        <v>308</v>
      </c>
      <c r="C3742" s="7" t="s">
        <v>3020</v>
      </c>
      <c r="D3742" s="7" t="s">
        <v>2584</v>
      </c>
      <c r="E3742" s="7" t="str">
        <f>"陈佳敏"</f>
        <v>陈佳敏</v>
      </c>
      <c r="F3742" s="7" t="str">
        <f t="shared" si="809"/>
        <v>女</v>
      </c>
      <c r="G3742" s="7" t="s">
        <v>3053</v>
      </c>
      <c r="H3742" s="8"/>
    </row>
    <row r="3743" ht="25" customHeight="1" spans="1:8">
      <c r="A3743" s="6">
        <v>3741</v>
      </c>
      <c r="B3743" s="7" t="str">
        <f t="shared" si="800"/>
        <v>308</v>
      </c>
      <c r="C3743" s="7" t="s">
        <v>3020</v>
      </c>
      <c r="D3743" s="7" t="s">
        <v>2584</v>
      </c>
      <c r="E3743" s="7" t="str">
        <f>"苏婷"</f>
        <v>苏婷</v>
      </c>
      <c r="F3743" s="7" t="str">
        <f t="shared" si="809"/>
        <v>女</v>
      </c>
      <c r="G3743" s="7" t="s">
        <v>3054</v>
      </c>
      <c r="H3743" s="8"/>
    </row>
    <row r="3744" ht="25" customHeight="1" spans="1:8">
      <c r="A3744" s="6">
        <v>3742</v>
      </c>
      <c r="B3744" s="7" t="str">
        <f t="shared" si="800"/>
        <v>308</v>
      </c>
      <c r="C3744" s="7" t="s">
        <v>3020</v>
      </c>
      <c r="D3744" s="7" t="s">
        <v>2584</v>
      </c>
      <c r="E3744" s="7" t="str">
        <f>"张道坤"</f>
        <v>张道坤</v>
      </c>
      <c r="F3744" s="7" t="str">
        <f t="shared" ref="F3744:F3748" si="810">"男"</f>
        <v>男</v>
      </c>
      <c r="G3744" s="7" t="s">
        <v>3055</v>
      </c>
      <c r="H3744" s="8"/>
    </row>
    <row r="3745" ht="25" customHeight="1" spans="1:8">
      <c r="A3745" s="6">
        <v>3743</v>
      </c>
      <c r="B3745" s="7" t="str">
        <f t="shared" si="800"/>
        <v>308</v>
      </c>
      <c r="C3745" s="7" t="s">
        <v>3020</v>
      </c>
      <c r="D3745" s="7" t="s">
        <v>2584</v>
      </c>
      <c r="E3745" s="7" t="str">
        <f>"符其秀"</f>
        <v>符其秀</v>
      </c>
      <c r="F3745" s="7" t="str">
        <f t="shared" ref="F3745:F3750" si="811">"女"</f>
        <v>女</v>
      </c>
      <c r="G3745" s="7" t="s">
        <v>2334</v>
      </c>
      <c r="H3745" s="8"/>
    </row>
    <row r="3746" ht="25" customHeight="1" spans="1:8">
      <c r="A3746" s="6">
        <v>3744</v>
      </c>
      <c r="B3746" s="7" t="str">
        <f t="shared" si="800"/>
        <v>308</v>
      </c>
      <c r="C3746" s="7" t="s">
        <v>3020</v>
      </c>
      <c r="D3746" s="7" t="s">
        <v>2584</v>
      </c>
      <c r="E3746" s="7" t="str">
        <f>"陈玫君"</f>
        <v>陈玫君</v>
      </c>
      <c r="F3746" s="7" t="str">
        <f t="shared" si="811"/>
        <v>女</v>
      </c>
      <c r="G3746" s="7" t="s">
        <v>3056</v>
      </c>
      <c r="H3746" s="8"/>
    </row>
    <row r="3747" ht="25" customHeight="1" spans="1:8">
      <c r="A3747" s="6">
        <v>3745</v>
      </c>
      <c r="B3747" s="7" t="str">
        <f t="shared" si="800"/>
        <v>308</v>
      </c>
      <c r="C3747" s="7" t="s">
        <v>3020</v>
      </c>
      <c r="D3747" s="7" t="s">
        <v>2584</v>
      </c>
      <c r="E3747" s="7" t="str">
        <f>"盛雍博"</f>
        <v>盛雍博</v>
      </c>
      <c r="F3747" s="7" t="str">
        <f t="shared" si="810"/>
        <v>男</v>
      </c>
      <c r="G3747" s="7" t="s">
        <v>3057</v>
      </c>
      <c r="H3747" s="8"/>
    </row>
    <row r="3748" ht="25" customHeight="1" spans="1:8">
      <c r="A3748" s="6">
        <v>3746</v>
      </c>
      <c r="B3748" s="7" t="str">
        <f t="shared" si="800"/>
        <v>308</v>
      </c>
      <c r="C3748" s="7" t="s">
        <v>3020</v>
      </c>
      <c r="D3748" s="7" t="s">
        <v>2584</v>
      </c>
      <c r="E3748" s="7" t="str">
        <f>"张德金"</f>
        <v>张德金</v>
      </c>
      <c r="F3748" s="7" t="str">
        <f t="shared" si="810"/>
        <v>男</v>
      </c>
      <c r="G3748" s="7" t="s">
        <v>3058</v>
      </c>
      <c r="H3748" s="8"/>
    </row>
    <row r="3749" ht="25" customHeight="1" spans="1:8">
      <c r="A3749" s="6">
        <v>3747</v>
      </c>
      <c r="B3749" s="7" t="str">
        <f t="shared" si="800"/>
        <v>308</v>
      </c>
      <c r="C3749" s="7" t="s">
        <v>3020</v>
      </c>
      <c r="D3749" s="7" t="s">
        <v>2584</v>
      </c>
      <c r="E3749" s="7" t="str">
        <f>"李珠"</f>
        <v>李珠</v>
      </c>
      <c r="F3749" s="7" t="str">
        <f t="shared" si="811"/>
        <v>女</v>
      </c>
      <c r="G3749" s="7" t="s">
        <v>534</v>
      </c>
      <c r="H3749" s="8"/>
    </row>
    <row r="3750" ht="25" customHeight="1" spans="1:8">
      <c r="A3750" s="6">
        <v>3748</v>
      </c>
      <c r="B3750" s="7" t="str">
        <f t="shared" si="800"/>
        <v>308</v>
      </c>
      <c r="C3750" s="7" t="s">
        <v>3020</v>
      </c>
      <c r="D3750" s="7" t="s">
        <v>2584</v>
      </c>
      <c r="E3750" s="7" t="str">
        <f>"石晴婷"</f>
        <v>石晴婷</v>
      </c>
      <c r="F3750" s="7" t="str">
        <f t="shared" si="811"/>
        <v>女</v>
      </c>
      <c r="G3750" s="7" t="s">
        <v>3059</v>
      </c>
      <c r="H3750" s="8"/>
    </row>
    <row r="3751" ht="25" customHeight="1" spans="1:8">
      <c r="A3751" s="6">
        <v>3749</v>
      </c>
      <c r="B3751" s="7" t="str">
        <f t="shared" si="800"/>
        <v>308</v>
      </c>
      <c r="C3751" s="7" t="s">
        <v>3020</v>
      </c>
      <c r="D3751" s="7" t="s">
        <v>2584</v>
      </c>
      <c r="E3751" s="7" t="str">
        <f>"谢会政"</f>
        <v>谢会政</v>
      </c>
      <c r="F3751" s="7" t="str">
        <f>"男"</f>
        <v>男</v>
      </c>
      <c r="G3751" s="7" t="s">
        <v>1094</v>
      </c>
      <c r="H3751" s="8"/>
    </row>
    <row r="3752" ht="25" customHeight="1" spans="1:8">
      <c r="A3752" s="6">
        <v>3750</v>
      </c>
      <c r="B3752" s="7" t="str">
        <f t="shared" si="800"/>
        <v>308</v>
      </c>
      <c r="C3752" s="7" t="s">
        <v>3020</v>
      </c>
      <c r="D3752" s="7" t="s">
        <v>2584</v>
      </c>
      <c r="E3752" s="7" t="str">
        <f>"邓美玲"</f>
        <v>邓美玲</v>
      </c>
      <c r="F3752" s="7" t="str">
        <f t="shared" ref="F3752:F3756" si="812">"女"</f>
        <v>女</v>
      </c>
      <c r="G3752" s="7" t="s">
        <v>1302</v>
      </c>
      <c r="H3752" s="8"/>
    </row>
    <row r="3753" ht="25" customHeight="1" spans="1:8">
      <c r="A3753" s="6">
        <v>3751</v>
      </c>
      <c r="B3753" s="7" t="str">
        <f t="shared" si="800"/>
        <v>308</v>
      </c>
      <c r="C3753" s="7" t="s">
        <v>3020</v>
      </c>
      <c r="D3753" s="7" t="s">
        <v>2584</v>
      </c>
      <c r="E3753" s="7" t="str">
        <f>"韦玉梅"</f>
        <v>韦玉梅</v>
      </c>
      <c r="F3753" s="7" t="str">
        <f t="shared" si="812"/>
        <v>女</v>
      </c>
      <c r="G3753" s="7" t="s">
        <v>3060</v>
      </c>
      <c r="H3753" s="8"/>
    </row>
    <row r="3754" ht="25" customHeight="1" spans="1:8">
      <c r="A3754" s="6">
        <v>3752</v>
      </c>
      <c r="B3754" s="7" t="str">
        <f t="shared" si="800"/>
        <v>308</v>
      </c>
      <c r="C3754" s="7" t="s">
        <v>3020</v>
      </c>
      <c r="D3754" s="7" t="s">
        <v>2584</v>
      </c>
      <c r="E3754" s="7" t="str">
        <f>"潘高明"</f>
        <v>潘高明</v>
      </c>
      <c r="F3754" s="7" t="str">
        <f t="shared" ref="F3754:F3758" si="813">"男"</f>
        <v>男</v>
      </c>
      <c r="G3754" s="7" t="s">
        <v>1308</v>
      </c>
      <c r="H3754" s="8"/>
    </row>
    <row r="3755" ht="25" customHeight="1" spans="1:8">
      <c r="A3755" s="6">
        <v>3753</v>
      </c>
      <c r="B3755" s="7" t="str">
        <f t="shared" si="800"/>
        <v>308</v>
      </c>
      <c r="C3755" s="7" t="s">
        <v>3020</v>
      </c>
      <c r="D3755" s="7" t="s">
        <v>2584</v>
      </c>
      <c r="E3755" s="7" t="str">
        <f>"向盈"</f>
        <v>向盈</v>
      </c>
      <c r="F3755" s="7" t="str">
        <f t="shared" si="812"/>
        <v>女</v>
      </c>
      <c r="G3755" s="7" t="s">
        <v>709</v>
      </c>
      <c r="H3755" s="8"/>
    </row>
    <row r="3756" ht="25" customHeight="1" spans="1:8">
      <c r="A3756" s="6">
        <v>3754</v>
      </c>
      <c r="B3756" s="7" t="str">
        <f t="shared" si="800"/>
        <v>308</v>
      </c>
      <c r="C3756" s="7" t="s">
        <v>3020</v>
      </c>
      <c r="D3756" s="7" t="s">
        <v>2584</v>
      </c>
      <c r="E3756" s="7" t="str">
        <f>"赵丹璐"</f>
        <v>赵丹璐</v>
      </c>
      <c r="F3756" s="7" t="str">
        <f t="shared" si="812"/>
        <v>女</v>
      </c>
      <c r="G3756" s="7" t="s">
        <v>2249</v>
      </c>
      <c r="H3756" s="8"/>
    </row>
    <row r="3757" ht="25" customHeight="1" spans="1:8">
      <c r="A3757" s="6">
        <v>3755</v>
      </c>
      <c r="B3757" s="7" t="str">
        <f t="shared" si="800"/>
        <v>308</v>
      </c>
      <c r="C3757" s="7" t="s">
        <v>3020</v>
      </c>
      <c r="D3757" s="7" t="s">
        <v>2584</v>
      </c>
      <c r="E3757" s="7" t="str">
        <f>"高阳"</f>
        <v>高阳</v>
      </c>
      <c r="F3757" s="7" t="str">
        <f t="shared" si="813"/>
        <v>男</v>
      </c>
      <c r="G3757" s="7" t="s">
        <v>3061</v>
      </c>
      <c r="H3757" s="8"/>
    </row>
    <row r="3758" ht="25" customHeight="1" spans="1:8">
      <c r="A3758" s="6">
        <v>3756</v>
      </c>
      <c r="B3758" s="7" t="str">
        <f t="shared" ref="B3758:B3821" si="814">"309"</f>
        <v>309</v>
      </c>
      <c r="C3758" s="7" t="s">
        <v>3062</v>
      </c>
      <c r="D3758" s="7" t="s">
        <v>2584</v>
      </c>
      <c r="E3758" s="7" t="str">
        <f>"胡其仲"</f>
        <v>胡其仲</v>
      </c>
      <c r="F3758" s="7" t="str">
        <f t="shared" si="813"/>
        <v>男</v>
      </c>
      <c r="G3758" s="7" t="s">
        <v>3063</v>
      </c>
      <c r="H3758" s="8"/>
    </row>
    <row r="3759" ht="25" customHeight="1" spans="1:8">
      <c r="A3759" s="6">
        <v>3757</v>
      </c>
      <c r="B3759" s="7" t="str">
        <f t="shared" si="814"/>
        <v>309</v>
      </c>
      <c r="C3759" s="7" t="s">
        <v>3062</v>
      </c>
      <c r="D3759" s="7" t="s">
        <v>2584</v>
      </c>
      <c r="E3759" s="7" t="str">
        <f>"周玥"</f>
        <v>周玥</v>
      </c>
      <c r="F3759" s="7" t="str">
        <f>"女"</f>
        <v>女</v>
      </c>
      <c r="G3759" s="7" t="s">
        <v>3064</v>
      </c>
      <c r="H3759" s="8"/>
    </row>
    <row r="3760" ht="25" customHeight="1" spans="1:8">
      <c r="A3760" s="6">
        <v>3758</v>
      </c>
      <c r="B3760" s="7" t="str">
        <f t="shared" si="814"/>
        <v>309</v>
      </c>
      <c r="C3760" s="7" t="s">
        <v>3062</v>
      </c>
      <c r="D3760" s="7" t="s">
        <v>2584</v>
      </c>
      <c r="E3760" s="7" t="str">
        <f>"羊凯"</f>
        <v>羊凯</v>
      </c>
      <c r="F3760" s="7" t="str">
        <f t="shared" ref="F3760:F3770" si="815">"男"</f>
        <v>男</v>
      </c>
      <c r="G3760" s="7" t="s">
        <v>785</v>
      </c>
      <c r="H3760" s="8"/>
    </row>
    <row r="3761" ht="25" customHeight="1" spans="1:8">
      <c r="A3761" s="6">
        <v>3759</v>
      </c>
      <c r="B3761" s="7" t="str">
        <f t="shared" si="814"/>
        <v>309</v>
      </c>
      <c r="C3761" s="7" t="s">
        <v>3062</v>
      </c>
      <c r="D3761" s="7" t="s">
        <v>2584</v>
      </c>
      <c r="E3761" s="7" t="str">
        <f>"阳楷"</f>
        <v>阳楷</v>
      </c>
      <c r="F3761" s="7" t="str">
        <f t="shared" si="815"/>
        <v>男</v>
      </c>
      <c r="G3761" s="7" t="s">
        <v>3065</v>
      </c>
      <c r="H3761" s="8"/>
    </row>
    <row r="3762" ht="25" customHeight="1" spans="1:8">
      <c r="A3762" s="6">
        <v>3760</v>
      </c>
      <c r="B3762" s="7" t="str">
        <f t="shared" si="814"/>
        <v>309</v>
      </c>
      <c r="C3762" s="7" t="s">
        <v>3062</v>
      </c>
      <c r="D3762" s="7" t="s">
        <v>2584</v>
      </c>
      <c r="E3762" s="7" t="str">
        <f>"李成峰"</f>
        <v>李成峰</v>
      </c>
      <c r="F3762" s="7" t="str">
        <f t="shared" si="815"/>
        <v>男</v>
      </c>
      <c r="G3762" s="7" t="s">
        <v>694</v>
      </c>
      <c r="H3762" s="8"/>
    </row>
    <row r="3763" ht="25" customHeight="1" spans="1:8">
      <c r="A3763" s="6">
        <v>3761</v>
      </c>
      <c r="B3763" s="7" t="str">
        <f t="shared" si="814"/>
        <v>309</v>
      </c>
      <c r="C3763" s="7" t="s">
        <v>3062</v>
      </c>
      <c r="D3763" s="7" t="s">
        <v>2584</v>
      </c>
      <c r="E3763" s="7" t="str">
        <f>"马振涛"</f>
        <v>马振涛</v>
      </c>
      <c r="F3763" s="7" t="str">
        <f t="shared" si="815"/>
        <v>男</v>
      </c>
      <c r="G3763" s="7" t="s">
        <v>3066</v>
      </c>
      <c r="H3763" s="8"/>
    </row>
    <row r="3764" ht="25" customHeight="1" spans="1:8">
      <c r="A3764" s="6">
        <v>3762</v>
      </c>
      <c r="B3764" s="7" t="str">
        <f t="shared" si="814"/>
        <v>309</v>
      </c>
      <c r="C3764" s="7" t="s">
        <v>3062</v>
      </c>
      <c r="D3764" s="7" t="s">
        <v>2584</v>
      </c>
      <c r="E3764" s="7" t="str">
        <f>"孙荣鑫"</f>
        <v>孙荣鑫</v>
      </c>
      <c r="F3764" s="7" t="str">
        <f t="shared" si="815"/>
        <v>男</v>
      </c>
      <c r="G3764" s="7" t="s">
        <v>3067</v>
      </c>
      <c r="H3764" s="8"/>
    </row>
    <row r="3765" ht="25" customHeight="1" spans="1:8">
      <c r="A3765" s="6">
        <v>3763</v>
      </c>
      <c r="B3765" s="7" t="str">
        <f t="shared" si="814"/>
        <v>309</v>
      </c>
      <c r="C3765" s="7" t="s">
        <v>3062</v>
      </c>
      <c r="D3765" s="7" t="s">
        <v>2584</v>
      </c>
      <c r="E3765" s="7" t="str">
        <f>"吴茂泽"</f>
        <v>吴茂泽</v>
      </c>
      <c r="F3765" s="7" t="str">
        <f t="shared" si="815"/>
        <v>男</v>
      </c>
      <c r="G3765" s="7" t="s">
        <v>3068</v>
      </c>
      <c r="H3765" s="8"/>
    </row>
    <row r="3766" ht="25" customHeight="1" spans="1:8">
      <c r="A3766" s="6">
        <v>3764</v>
      </c>
      <c r="B3766" s="7" t="str">
        <f t="shared" si="814"/>
        <v>309</v>
      </c>
      <c r="C3766" s="7" t="s">
        <v>3062</v>
      </c>
      <c r="D3766" s="7" t="s">
        <v>2584</v>
      </c>
      <c r="E3766" s="7" t="str">
        <f>"苏文壮"</f>
        <v>苏文壮</v>
      </c>
      <c r="F3766" s="7" t="str">
        <f t="shared" si="815"/>
        <v>男</v>
      </c>
      <c r="G3766" s="7" t="s">
        <v>3069</v>
      </c>
      <c r="H3766" s="8"/>
    </row>
    <row r="3767" ht="25" customHeight="1" spans="1:8">
      <c r="A3767" s="6">
        <v>3765</v>
      </c>
      <c r="B3767" s="7" t="str">
        <f t="shared" si="814"/>
        <v>309</v>
      </c>
      <c r="C3767" s="7" t="s">
        <v>3062</v>
      </c>
      <c r="D3767" s="7" t="s">
        <v>2584</v>
      </c>
      <c r="E3767" s="7" t="str">
        <f>"陈科龙"</f>
        <v>陈科龙</v>
      </c>
      <c r="F3767" s="7" t="str">
        <f t="shared" si="815"/>
        <v>男</v>
      </c>
      <c r="G3767" s="7" t="s">
        <v>3070</v>
      </c>
      <c r="H3767" s="8"/>
    </row>
    <row r="3768" ht="25" customHeight="1" spans="1:8">
      <c r="A3768" s="6">
        <v>3766</v>
      </c>
      <c r="B3768" s="7" t="str">
        <f t="shared" si="814"/>
        <v>309</v>
      </c>
      <c r="C3768" s="7" t="s">
        <v>3062</v>
      </c>
      <c r="D3768" s="7" t="s">
        <v>2584</v>
      </c>
      <c r="E3768" s="7" t="str">
        <f>"林良毅"</f>
        <v>林良毅</v>
      </c>
      <c r="F3768" s="7" t="str">
        <f t="shared" si="815"/>
        <v>男</v>
      </c>
      <c r="G3768" s="7" t="s">
        <v>1462</v>
      </c>
      <c r="H3768" s="8"/>
    </row>
    <row r="3769" ht="25" customHeight="1" spans="1:8">
      <c r="A3769" s="6">
        <v>3767</v>
      </c>
      <c r="B3769" s="7" t="str">
        <f t="shared" si="814"/>
        <v>309</v>
      </c>
      <c r="C3769" s="7" t="s">
        <v>3062</v>
      </c>
      <c r="D3769" s="7" t="s">
        <v>2584</v>
      </c>
      <c r="E3769" s="7" t="str">
        <f>"黎肇腾"</f>
        <v>黎肇腾</v>
      </c>
      <c r="F3769" s="7" t="str">
        <f t="shared" si="815"/>
        <v>男</v>
      </c>
      <c r="G3769" s="7" t="s">
        <v>3071</v>
      </c>
      <c r="H3769" s="8"/>
    </row>
    <row r="3770" ht="25" customHeight="1" spans="1:8">
      <c r="A3770" s="6">
        <v>3768</v>
      </c>
      <c r="B3770" s="7" t="str">
        <f t="shared" si="814"/>
        <v>309</v>
      </c>
      <c r="C3770" s="7" t="s">
        <v>3062</v>
      </c>
      <c r="D3770" s="7" t="s">
        <v>2584</v>
      </c>
      <c r="E3770" s="7" t="str">
        <f>"王志顺"</f>
        <v>王志顺</v>
      </c>
      <c r="F3770" s="7" t="str">
        <f t="shared" si="815"/>
        <v>男</v>
      </c>
      <c r="G3770" s="7" t="s">
        <v>3072</v>
      </c>
      <c r="H3770" s="8"/>
    </row>
    <row r="3771" ht="25" customHeight="1" spans="1:8">
      <c r="A3771" s="6">
        <v>3769</v>
      </c>
      <c r="B3771" s="7" t="str">
        <f t="shared" si="814"/>
        <v>309</v>
      </c>
      <c r="C3771" s="7" t="s">
        <v>3062</v>
      </c>
      <c r="D3771" s="7" t="s">
        <v>2584</v>
      </c>
      <c r="E3771" s="7" t="str">
        <f>"蒙春懿"</f>
        <v>蒙春懿</v>
      </c>
      <c r="F3771" s="7" t="str">
        <f>"女"</f>
        <v>女</v>
      </c>
      <c r="G3771" s="7" t="s">
        <v>3073</v>
      </c>
      <c r="H3771" s="8"/>
    </row>
    <row r="3772" ht="25" customHeight="1" spans="1:8">
      <c r="A3772" s="6">
        <v>3770</v>
      </c>
      <c r="B3772" s="7" t="str">
        <f t="shared" si="814"/>
        <v>309</v>
      </c>
      <c r="C3772" s="7" t="s">
        <v>3062</v>
      </c>
      <c r="D3772" s="7" t="s">
        <v>2584</v>
      </c>
      <c r="E3772" s="7" t="str">
        <f>"张文杰"</f>
        <v>张文杰</v>
      </c>
      <c r="F3772" s="7" t="str">
        <f t="shared" ref="F3772:F3776" si="816">"男"</f>
        <v>男</v>
      </c>
      <c r="G3772" s="7" t="s">
        <v>3074</v>
      </c>
      <c r="H3772" s="8"/>
    </row>
    <row r="3773" ht="25" customHeight="1" spans="1:8">
      <c r="A3773" s="6">
        <v>3771</v>
      </c>
      <c r="B3773" s="7" t="str">
        <f t="shared" si="814"/>
        <v>309</v>
      </c>
      <c r="C3773" s="7" t="s">
        <v>3062</v>
      </c>
      <c r="D3773" s="7" t="s">
        <v>2584</v>
      </c>
      <c r="E3773" s="7" t="str">
        <f>"李交胜"</f>
        <v>李交胜</v>
      </c>
      <c r="F3773" s="7" t="str">
        <f t="shared" si="816"/>
        <v>男</v>
      </c>
      <c r="G3773" s="7" t="s">
        <v>3075</v>
      </c>
      <c r="H3773" s="8"/>
    </row>
    <row r="3774" ht="25" customHeight="1" spans="1:8">
      <c r="A3774" s="6">
        <v>3772</v>
      </c>
      <c r="B3774" s="7" t="str">
        <f t="shared" si="814"/>
        <v>309</v>
      </c>
      <c r="C3774" s="7" t="s">
        <v>3062</v>
      </c>
      <c r="D3774" s="7" t="s">
        <v>2584</v>
      </c>
      <c r="E3774" s="7" t="str">
        <f>"郑霖学"</f>
        <v>郑霖学</v>
      </c>
      <c r="F3774" s="7" t="str">
        <f t="shared" si="816"/>
        <v>男</v>
      </c>
      <c r="G3774" s="7" t="s">
        <v>3076</v>
      </c>
      <c r="H3774" s="8"/>
    </row>
    <row r="3775" ht="25" customHeight="1" spans="1:8">
      <c r="A3775" s="6">
        <v>3773</v>
      </c>
      <c r="B3775" s="7" t="str">
        <f t="shared" si="814"/>
        <v>309</v>
      </c>
      <c r="C3775" s="7" t="s">
        <v>3062</v>
      </c>
      <c r="D3775" s="7" t="s">
        <v>2584</v>
      </c>
      <c r="E3775" s="7" t="str">
        <f>"王金龙"</f>
        <v>王金龙</v>
      </c>
      <c r="F3775" s="7" t="str">
        <f t="shared" si="816"/>
        <v>男</v>
      </c>
      <c r="G3775" s="7" t="s">
        <v>3077</v>
      </c>
      <c r="H3775" s="8"/>
    </row>
    <row r="3776" ht="25" customHeight="1" spans="1:8">
      <c r="A3776" s="6">
        <v>3774</v>
      </c>
      <c r="B3776" s="7" t="str">
        <f t="shared" si="814"/>
        <v>309</v>
      </c>
      <c r="C3776" s="7" t="s">
        <v>3062</v>
      </c>
      <c r="D3776" s="7" t="s">
        <v>2584</v>
      </c>
      <c r="E3776" s="7" t="str">
        <f>"朱子龙"</f>
        <v>朱子龙</v>
      </c>
      <c r="F3776" s="7" t="str">
        <f t="shared" si="816"/>
        <v>男</v>
      </c>
      <c r="G3776" s="7" t="s">
        <v>3078</v>
      </c>
      <c r="H3776" s="8"/>
    </row>
    <row r="3777" ht="25" customHeight="1" spans="1:8">
      <c r="A3777" s="6">
        <v>3775</v>
      </c>
      <c r="B3777" s="7" t="str">
        <f t="shared" si="814"/>
        <v>309</v>
      </c>
      <c r="C3777" s="7" t="s">
        <v>3062</v>
      </c>
      <c r="D3777" s="7" t="s">
        <v>2584</v>
      </c>
      <c r="E3777" s="7" t="str">
        <f>"白海霞"</f>
        <v>白海霞</v>
      </c>
      <c r="F3777" s="7" t="str">
        <f>"女"</f>
        <v>女</v>
      </c>
      <c r="G3777" s="7" t="s">
        <v>3079</v>
      </c>
      <c r="H3777" s="8"/>
    </row>
    <row r="3778" ht="25" customHeight="1" spans="1:8">
      <c r="A3778" s="6">
        <v>3776</v>
      </c>
      <c r="B3778" s="7" t="str">
        <f t="shared" si="814"/>
        <v>309</v>
      </c>
      <c r="C3778" s="7" t="s">
        <v>3062</v>
      </c>
      <c r="D3778" s="7" t="s">
        <v>2584</v>
      </c>
      <c r="E3778" s="7" t="str">
        <f>"陈俊臣"</f>
        <v>陈俊臣</v>
      </c>
      <c r="F3778" s="7" t="str">
        <f t="shared" ref="F3778:F3782" si="817">"男"</f>
        <v>男</v>
      </c>
      <c r="G3778" s="7" t="s">
        <v>3080</v>
      </c>
      <c r="H3778" s="8"/>
    </row>
    <row r="3779" ht="25" customHeight="1" spans="1:8">
      <c r="A3779" s="6">
        <v>3777</v>
      </c>
      <c r="B3779" s="7" t="str">
        <f t="shared" si="814"/>
        <v>309</v>
      </c>
      <c r="C3779" s="7" t="s">
        <v>3062</v>
      </c>
      <c r="D3779" s="7" t="s">
        <v>2584</v>
      </c>
      <c r="E3779" s="7" t="str">
        <f>"董莹莞"</f>
        <v>董莹莞</v>
      </c>
      <c r="F3779" s="7" t="str">
        <f t="shared" si="817"/>
        <v>男</v>
      </c>
      <c r="G3779" s="7" t="s">
        <v>926</v>
      </c>
      <c r="H3779" s="8"/>
    </row>
    <row r="3780" ht="25" customHeight="1" spans="1:8">
      <c r="A3780" s="6">
        <v>3778</v>
      </c>
      <c r="B3780" s="7" t="str">
        <f t="shared" si="814"/>
        <v>309</v>
      </c>
      <c r="C3780" s="7" t="s">
        <v>3062</v>
      </c>
      <c r="D3780" s="7" t="s">
        <v>2584</v>
      </c>
      <c r="E3780" s="7" t="str">
        <f>"田一秀"</f>
        <v>田一秀</v>
      </c>
      <c r="F3780" s="7" t="str">
        <f t="shared" ref="F3780:F3785" si="818">"女"</f>
        <v>女</v>
      </c>
      <c r="G3780" s="7" t="s">
        <v>684</v>
      </c>
      <c r="H3780" s="8"/>
    </row>
    <row r="3781" ht="25" customHeight="1" spans="1:8">
      <c r="A3781" s="6">
        <v>3779</v>
      </c>
      <c r="B3781" s="7" t="str">
        <f t="shared" si="814"/>
        <v>309</v>
      </c>
      <c r="C3781" s="7" t="s">
        <v>3062</v>
      </c>
      <c r="D3781" s="7" t="s">
        <v>2584</v>
      </c>
      <c r="E3781" s="7" t="str">
        <f>"王梓旭"</f>
        <v>王梓旭</v>
      </c>
      <c r="F3781" s="7" t="str">
        <f t="shared" si="817"/>
        <v>男</v>
      </c>
      <c r="G3781" s="7" t="s">
        <v>3081</v>
      </c>
      <c r="H3781" s="8"/>
    </row>
    <row r="3782" ht="25" customHeight="1" spans="1:8">
      <c r="A3782" s="6">
        <v>3780</v>
      </c>
      <c r="B3782" s="7" t="str">
        <f t="shared" si="814"/>
        <v>309</v>
      </c>
      <c r="C3782" s="7" t="s">
        <v>3062</v>
      </c>
      <c r="D3782" s="7" t="s">
        <v>2584</v>
      </c>
      <c r="E3782" s="7" t="str">
        <f>"林方威"</f>
        <v>林方威</v>
      </c>
      <c r="F3782" s="7" t="str">
        <f t="shared" si="817"/>
        <v>男</v>
      </c>
      <c r="G3782" s="7" t="s">
        <v>3082</v>
      </c>
      <c r="H3782" s="8"/>
    </row>
    <row r="3783" ht="25" customHeight="1" spans="1:8">
      <c r="A3783" s="6">
        <v>3781</v>
      </c>
      <c r="B3783" s="7" t="str">
        <f t="shared" si="814"/>
        <v>309</v>
      </c>
      <c r="C3783" s="7" t="s">
        <v>3062</v>
      </c>
      <c r="D3783" s="7" t="s">
        <v>2584</v>
      </c>
      <c r="E3783" s="7" t="str">
        <f>"余雪婷"</f>
        <v>余雪婷</v>
      </c>
      <c r="F3783" s="7" t="str">
        <f t="shared" si="818"/>
        <v>女</v>
      </c>
      <c r="G3783" s="7" t="s">
        <v>3083</v>
      </c>
      <c r="H3783" s="8"/>
    </row>
    <row r="3784" ht="25" customHeight="1" spans="1:8">
      <c r="A3784" s="6">
        <v>3782</v>
      </c>
      <c r="B3784" s="7" t="str">
        <f t="shared" si="814"/>
        <v>309</v>
      </c>
      <c r="C3784" s="7" t="s">
        <v>3062</v>
      </c>
      <c r="D3784" s="7" t="s">
        <v>2584</v>
      </c>
      <c r="E3784" s="7" t="str">
        <f>"张步"</f>
        <v>张步</v>
      </c>
      <c r="F3784" s="7" t="str">
        <f t="shared" ref="F3784:F3788" si="819">"男"</f>
        <v>男</v>
      </c>
      <c r="G3784" s="7" t="s">
        <v>3084</v>
      </c>
      <c r="H3784" s="8"/>
    </row>
    <row r="3785" ht="25" customHeight="1" spans="1:8">
      <c r="A3785" s="6">
        <v>3783</v>
      </c>
      <c r="B3785" s="7" t="str">
        <f t="shared" si="814"/>
        <v>309</v>
      </c>
      <c r="C3785" s="7" t="s">
        <v>3062</v>
      </c>
      <c r="D3785" s="7" t="s">
        <v>2584</v>
      </c>
      <c r="E3785" s="7" t="str">
        <f>"盛世煜"</f>
        <v>盛世煜</v>
      </c>
      <c r="F3785" s="7" t="str">
        <f t="shared" si="818"/>
        <v>女</v>
      </c>
      <c r="G3785" s="7" t="s">
        <v>3085</v>
      </c>
      <c r="H3785" s="8"/>
    </row>
    <row r="3786" ht="25" customHeight="1" spans="1:8">
      <c r="A3786" s="6">
        <v>3784</v>
      </c>
      <c r="B3786" s="7" t="str">
        <f t="shared" si="814"/>
        <v>309</v>
      </c>
      <c r="C3786" s="7" t="s">
        <v>3062</v>
      </c>
      <c r="D3786" s="7" t="s">
        <v>2584</v>
      </c>
      <c r="E3786" s="7" t="str">
        <f>"倪德斌"</f>
        <v>倪德斌</v>
      </c>
      <c r="F3786" s="7" t="str">
        <f t="shared" si="819"/>
        <v>男</v>
      </c>
      <c r="G3786" s="7" t="s">
        <v>3086</v>
      </c>
      <c r="H3786" s="8"/>
    </row>
    <row r="3787" ht="25" customHeight="1" spans="1:8">
      <c r="A3787" s="6">
        <v>3785</v>
      </c>
      <c r="B3787" s="7" t="str">
        <f t="shared" si="814"/>
        <v>309</v>
      </c>
      <c r="C3787" s="7" t="s">
        <v>3062</v>
      </c>
      <c r="D3787" s="7" t="s">
        <v>2584</v>
      </c>
      <c r="E3787" s="7" t="str">
        <f>"梁振赫"</f>
        <v>梁振赫</v>
      </c>
      <c r="F3787" s="7" t="str">
        <f t="shared" si="819"/>
        <v>男</v>
      </c>
      <c r="G3787" s="7" t="s">
        <v>1394</v>
      </c>
      <c r="H3787" s="8"/>
    </row>
    <row r="3788" ht="25" customHeight="1" spans="1:8">
      <c r="A3788" s="6">
        <v>3786</v>
      </c>
      <c r="B3788" s="7" t="str">
        <f t="shared" si="814"/>
        <v>309</v>
      </c>
      <c r="C3788" s="7" t="s">
        <v>3062</v>
      </c>
      <c r="D3788" s="7" t="s">
        <v>2584</v>
      </c>
      <c r="E3788" s="7" t="str">
        <f>"张鹏"</f>
        <v>张鹏</v>
      </c>
      <c r="F3788" s="7" t="str">
        <f t="shared" si="819"/>
        <v>男</v>
      </c>
      <c r="G3788" s="7" t="s">
        <v>598</v>
      </c>
      <c r="H3788" s="8"/>
    </row>
    <row r="3789" ht="25" customHeight="1" spans="1:8">
      <c r="A3789" s="6">
        <v>3787</v>
      </c>
      <c r="B3789" s="7" t="str">
        <f t="shared" si="814"/>
        <v>309</v>
      </c>
      <c r="C3789" s="7" t="s">
        <v>3062</v>
      </c>
      <c r="D3789" s="7" t="s">
        <v>2584</v>
      </c>
      <c r="E3789" s="7" t="str">
        <f>"吕雪莲"</f>
        <v>吕雪莲</v>
      </c>
      <c r="F3789" s="7" t="str">
        <f t="shared" ref="F3789:F3793" si="820">"女"</f>
        <v>女</v>
      </c>
      <c r="G3789" s="7" t="s">
        <v>3087</v>
      </c>
      <c r="H3789" s="8"/>
    </row>
    <row r="3790" ht="25" customHeight="1" spans="1:8">
      <c r="A3790" s="6">
        <v>3788</v>
      </c>
      <c r="B3790" s="7" t="str">
        <f t="shared" si="814"/>
        <v>309</v>
      </c>
      <c r="C3790" s="7" t="s">
        <v>3062</v>
      </c>
      <c r="D3790" s="7" t="s">
        <v>2584</v>
      </c>
      <c r="E3790" s="7" t="str">
        <f>"李梦圆"</f>
        <v>李梦圆</v>
      </c>
      <c r="F3790" s="7" t="str">
        <f t="shared" si="820"/>
        <v>女</v>
      </c>
      <c r="G3790" s="7" t="s">
        <v>3088</v>
      </c>
      <c r="H3790" s="8"/>
    </row>
    <row r="3791" ht="25" customHeight="1" spans="1:8">
      <c r="A3791" s="6">
        <v>3789</v>
      </c>
      <c r="B3791" s="7" t="str">
        <f t="shared" si="814"/>
        <v>309</v>
      </c>
      <c r="C3791" s="7" t="s">
        <v>3062</v>
      </c>
      <c r="D3791" s="7" t="s">
        <v>2584</v>
      </c>
      <c r="E3791" s="7" t="str">
        <f>"唐新成"</f>
        <v>唐新成</v>
      </c>
      <c r="F3791" s="7" t="str">
        <f t="shared" ref="F3791:F3797" si="821">"男"</f>
        <v>男</v>
      </c>
      <c r="G3791" s="7" t="s">
        <v>3089</v>
      </c>
      <c r="H3791" s="8"/>
    </row>
    <row r="3792" ht="25" customHeight="1" spans="1:8">
      <c r="A3792" s="6">
        <v>3790</v>
      </c>
      <c r="B3792" s="7" t="str">
        <f t="shared" si="814"/>
        <v>309</v>
      </c>
      <c r="C3792" s="7" t="s">
        <v>3062</v>
      </c>
      <c r="D3792" s="7" t="s">
        <v>2584</v>
      </c>
      <c r="E3792" s="7" t="str">
        <f>" 王嘉琪"</f>
        <v> 王嘉琪</v>
      </c>
      <c r="F3792" s="7" t="str">
        <f t="shared" si="821"/>
        <v>男</v>
      </c>
      <c r="G3792" s="7" t="s">
        <v>3090</v>
      </c>
      <c r="H3792" s="8"/>
    </row>
    <row r="3793" ht="25" customHeight="1" spans="1:8">
      <c r="A3793" s="6">
        <v>3791</v>
      </c>
      <c r="B3793" s="7" t="str">
        <f t="shared" si="814"/>
        <v>309</v>
      </c>
      <c r="C3793" s="7" t="s">
        <v>3062</v>
      </c>
      <c r="D3793" s="7" t="s">
        <v>2584</v>
      </c>
      <c r="E3793" s="7" t="str">
        <f>"陆春燮"</f>
        <v>陆春燮</v>
      </c>
      <c r="F3793" s="7" t="str">
        <f t="shared" si="820"/>
        <v>女</v>
      </c>
      <c r="G3793" s="7" t="s">
        <v>3091</v>
      </c>
      <c r="H3793" s="8"/>
    </row>
    <row r="3794" ht="25" customHeight="1" spans="1:8">
      <c r="A3794" s="6">
        <v>3792</v>
      </c>
      <c r="B3794" s="7" t="str">
        <f t="shared" si="814"/>
        <v>309</v>
      </c>
      <c r="C3794" s="7" t="s">
        <v>3062</v>
      </c>
      <c r="D3794" s="7" t="s">
        <v>2584</v>
      </c>
      <c r="E3794" s="7" t="str">
        <f>"邱天翔"</f>
        <v>邱天翔</v>
      </c>
      <c r="F3794" s="7" t="str">
        <f t="shared" si="821"/>
        <v>男</v>
      </c>
      <c r="G3794" s="7" t="s">
        <v>3092</v>
      </c>
      <c r="H3794" s="8"/>
    </row>
    <row r="3795" ht="25" customHeight="1" spans="1:8">
      <c r="A3795" s="6">
        <v>3793</v>
      </c>
      <c r="B3795" s="7" t="str">
        <f t="shared" si="814"/>
        <v>309</v>
      </c>
      <c r="C3795" s="7" t="s">
        <v>3062</v>
      </c>
      <c r="D3795" s="7" t="s">
        <v>2584</v>
      </c>
      <c r="E3795" s="7" t="str">
        <f>"蒋波"</f>
        <v>蒋波</v>
      </c>
      <c r="F3795" s="7" t="str">
        <f t="shared" si="821"/>
        <v>男</v>
      </c>
      <c r="G3795" s="7" t="s">
        <v>3093</v>
      </c>
      <c r="H3795" s="8"/>
    </row>
    <row r="3796" ht="25" customHeight="1" spans="1:8">
      <c r="A3796" s="6">
        <v>3794</v>
      </c>
      <c r="B3796" s="7" t="str">
        <f t="shared" si="814"/>
        <v>309</v>
      </c>
      <c r="C3796" s="7" t="s">
        <v>3062</v>
      </c>
      <c r="D3796" s="7" t="s">
        <v>2584</v>
      </c>
      <c r="E3796" s="7" t="str">
        <f>"吴程"</f>
        <v>吴程</v>
      </c>
      <c r="F3796" s="7" t="str">
        <f t="shared" si="821"/>
        <v>男</v>
      </c>
      <c r="G3796" s="7" t="s">
        <v>1751</v>
      </c>
      <c r="H3796" s="8"/>
    </row>
    <row r="3797" ht="25" customHeight="1" spans="1:8">
      <c r="A3797" s="6">
        <v>3795</v>
      </c>
      <c r="B3797" s="7" t="str">
        <f t="shared" si="814"/>
        <v>309</v>
      </c>
      <c r="C3797" s="7" t="s">
        <v>3062</v>
      </c>
      <c r="D3797" s="7" t="s">
        <v>2584</v>
      </c>
      <c r="E3797" s="7" t="str">
        <f>"何成洋"</f>
        <v>何成洋</v>
      </c>
      <c r="F3797" s="7" t="str">
        <f t="shared" si="821"/>
        <v>男</v>
      </c>
      <c r="G3797" s="7" t="s">
        <v>3094</v>
      </c>
      <c r="H3797" s="8"/>
    </row>
    <row r="3798" ht="25" customHeight="1" spans="1:8">
      <c r="A3798" s="6">
        <v>3796</v>
      </c>
      <c r="B3798" s="7" t="str">
        <f t="shared" si="814"/>
        <v>309</v>
      </c>
      <c r="C3798" s="7" t="s">
        <v>3062</v>
      </c>
      <c r="D3798" s="7" t="s">
        <v>2584</v>
      </c>
      <c r="E3798" s="7" t="str">
        <f>"关温雅"</f>
        <v>关温雅</v>
      </c>
      <c r="F3798" s="7" t="str">
        <f t="shared" ref="F3798:F3800" si="822">"女"</f>
        <v>女</v>
      </c>
      <c r="G3798" s="7" t="s">
        <v>3095</v>
      </c>
      <c r="H3798" s="8"/>
    </row>
    <row r="3799" ht="25" customHeight="1" spans="1:8">
      <c r="A3799" s="6">
        <v>3797</v>
      </c>
      <c r="B3799" s="7" t="str">
        <f t="shared" si="814"/>
        <v>309</v>
      </c>
      <c r="C3799" s="7" t="s">
        <v>3062</v>
      </c>
      <c r="D3799" s="7" t="s">
        <v>2584</v>
      </c>
      <c r="E3799" s="7" t="str">
        <f>"王娜"</f>
        <v>王娜</v>
      </c>
      <c r="F3799" s="7" t="str">
        <f t="shared" si="822"/>
        <v>女</v>
      </c>
      <c r="G3799" s="7" t="s">
        <v>3096</v>
      </c>
      <c r="H3799" s="8"/>
    </row>
    <row r="3800" ht="25" customHeight="1" spans="1:8">
      <c r="A3800" s="6">
        <v>3798</v>
      </c>
      <c r="B3800" s="7" t="str">
        <f t="shared" si="814"/>
        <v>309</v>
      </c>
      <c r="C3800" s="7" t="s">
        <v>3062</v>
      </c>
      <c r="D3800" s="7" t="s">
        <v>2584</v>
      </c>
      <c r="E3800" s="7" t="str">
        <f>"贾心钰"</f>
        <v>贾心钰</v>
      </c>
      <c r="F3800" s="7" t="str">
        <f t="shared" si="822"/>
        <v>女</v>
      </c>
      <c r="G3800" s="7" t="s">
        <v>3097</v>
      </c>
      <c r="H3800" s="8"/>
    </row>
    <row r="3801" ht="25" customHeight="1" spans="1:8">
      <c r="A3801" s="6">
        <v>3799</v>
      </c>
      <c r="B3801" s="7" t="str">
        <f t="shared" si="814"/>
        <v>309</v>
      </c>
      <c r="C3801" s="7" t="s">
        <v>3062</v>
      </c>
      <c r="D3801" s="7" t="s">
        <v>2584</v>
      </c>
      <c r="E3801" s="7" t="str">
        <f>"张浩宇"</f>
        <v>张浩宇</v>
      </c>
      <c r="F3801" s="7" t="str">
        <f t="shared" ref="F3801:F3811" si="823">"男"</f>
        <v>男</v>
      </c>
      <c r="G3801" s="7" t="s">
        <v>3098</v>
      </c>
      <c r="H3801" s="8"/>
    </row>
    <row r="3802" ht="25" customHeight="1" spans="1:8">
      <c r="A3802" s="6">
        <v>3800</v>
      </c>
      <c r="B3802" s="7" t="str">
        <f t="shared" si="814"/>
        <v>309</v>
      </c>
      <c r="C3802" s="7" t="s">
        <v>3062</v>
      </c>
      <c r="D3802" s="7" t="s">
        <v>2584</v>
      </c>
      <c r="E3802" s="7" t="str">
        <f>"陈彦彤"</f>
        <v>陈彦彤</v>
      </c>
      <c r="F3802" s="7" t="str">
        <f>"女"</f>
        <v>女</v>
      </c>
      <c r="G3802" s="7" t="s">
        <v>66</v>
      </c>
      <c r="H3802" s="8"/>
    </row>
    <row r="3803" ht="25" customHeight="1" spans="1:8">
      <c r="A3803" s="6">
        <v>3801</v>
      </c>
      <c r="B3803" s="7" t="str">
        <f t="shared" si="814"/>
        <v>309</v>
      </c>
      <c r="C3803" s="7" t="s">
        <v>3062</v>
      </c>
      <c r="D3803" s="7" t="s">
        <v>2584</v>
      </c>
      <c r="E3803" s="7" t="str">
        <f>"符雅静"</f>
        <v>符雅静</v>
      </c>
      <c r="F3803" s="7" t="str">
        <f>"女"</f>
        <v>女</v>
      </c>
      <c r="G3803" s="7" t="s">
        <v>3099</v>
      </c>
      <c r="H3803" s="8"/>
    </row>
    <row r="3804" ht="25" customHeight="1" spans="1:8">
      <c r="A3804" s="6">
        <v>3802</v>
      </c>
      <c r="B3804" s="7" t="str">
        <f t="shared" si="814"/>
        <v>309</v>
      </c>
      <c r="C3804" s="7" t="s">
        <v>3062</v>
      </c>
      <c r="D3804" s="7" t="s">
        <v>2584</v>
      </c>
      <c r="E3804" s="7" t="str">
        <f>"符州"</f>
        <v>符州</v>
      </c>
      <c r="F3804" s="7" t="str">
        <f t="shared" si="823"/>
        <v>男</v>
      </c>
      <c r="G3804" s="7" t="s">
        <v>3100</v>
      </c>
      <c r="H3804" s="8"/>
    </row>
    <row r="3805" ht="25" customHeight="1" spans="1:8">
      <c r="A3805" s="6">
        <v>3803</v>
      </c>
      <c r="B3805" s="7" t="str">
        <f t="shared" si="814"/>
        <v>309</v>
      </c>
      <c r="C3805" s="7" t="s">
        <v>3062</v>
      </c>
      <c r="D3805" s="7" t="s">
        <v>2584</v>
      </c>
      <c r="E3805" s="7" t="str">
        <f>"宋志明"</f>
        <v>宋志明</v>
      </c>
      <c r="F3805" s="7" t="str">
        <f t="shared" si="823"/>
        <v>男</v>
      </c>
      <c r="G3805" s="7" t="s">
        <v>3101</v>
      </c>
      <c r="H3805" s="8"/>
    </row>
    <row r="3806" ht="25" customHeight="1" spans="1:8">
      <c r="A3806" s="6">
        <v>3804</v>
      </c>
      <c r="B3806" s="7" t="str">
        <f t="shared" si="814"/>
        <v>309</v>
      </c>
      <c r="C3806" s="7" t="s">
        <v>3062</v>
      </c>
      <c r="D3806" s="7" t="s">
        <v>2584</v>
      </c>
      <c r="E3806" s="7" t="str">
        <f>"吴达一"</f>
        <v>吴达一</v>
      </c>
      <c r="F3806" s="7" t="str">
        <f t="shared" si="823"/>
        <v>男</v>
      </c>
      <c r="G3806" s="7" t="s">
        <v>3102</v>
      </c>
      <c r="H3806" s="8"/>
    </row>
    <row r="3807" ht="25" customHeight="1" spans="1:8">
      <c r="A3807" s="6">
        <v>3805</v>
      </c>
      <c r="B3807" s="7" t="str">
        <f t="shared" si="814"/>
        <v>309</v>
      </c>
      <c r="C3807" s="7" t="s">
        <v>3062</v>
      </c>
      <c r="D3807" s="7" t="s">
        <v>2584</v>
      </c>
      <c r="E3807" s="7" t="str">
        <f>"彭熠"</f>
        <v>彭熠</v>
      </c>
      <c r="F3807" s="7" t="str">
        <f t="shared" si="823"/>
        <v>男</v>
      </c>
      <c r="G3807" s="7" t="s">
        <v>3103</v>
      </c>
      <c r="H3807" s="8"/>
    </row>
    <row r="3808" ht="25" customHeight="1" spans="1:8">
      <c r="A3808" s="6">
        <v>3806</v>
      </c>
      <c r="B3808" s="7" t="str">
        <f t="shared" si="814"/>
        <v>309</v>
      </c>
      <c r="C3808" s="7" t="s">
        <v>3062</v>
      </c>
      <c r="D3808" s="7" t="s">
        <v>2584</v>
      </c>
      <c r="E3808" s="7" t="str">
        <f>"陈德勤"</f>
        <v>陈德勤</v>
      </c>
      <c r="F3808" s="7" t="str">
        <f t="shared" si="823"/>
        <v>男</v>
      </c>
      <c r="G3808" s="7" t="s">
        <v>3104</v>
      </c>
      <c r="H3808" s="8"/>
    </row>
    <row r="3809" ht="25" customHeight="1" spans="1:8">
      <c r="A3809" s="6">
        <v>3807</v>
      </c>
      <c r="B3809" s="7" t="str">
        <f t="shared" si="814"/>
        <v>309</v>
      </c>
      <c r="C3809" s="7" t="s">
        <v>3062</v>
      </c>
      <c r="D3809" s="7" t="s">
        <v>2584</v>
      </c>
      <c r="E3809" s="7" t="str">
        <f>"周毅"</f>
        <v>周毅</v>
      </c>
      <c r="F3809" s="7" t="str">
        <f t="shared" si="823"/>
        <v>男</v>
      </c>
      <c r="G3809" s="7" t="s">
        <v>3040</v>
      </c>
      <c r="H3809" s="8"/>
    </row>
    <row r="3810" ht="25" customHeight="1" spans="1:8">
      <c r="A3810" s="6">
        <v>3808</v>
      </c>
      <c r="B3810" s="7" t="str">
        <f t="shared" si="814"/>
        <v>309</v>
      </c>
      <c r="C3810" s="7" t="s">
        <v>3062</v>
      </c>
      <c r="D3810" s="7" t="s">
        <v>2584</v>
      </c>
      <c r="E3810" s="7" t="str">
        <f>"林先云"</f>
        <v>林先云</v>
      </c>
      <c r="F3810" s="7" t="str">
        <f t="shared" si="823"/>
        <v>男</v>
      </c>
      <c r="G3810" s="7" t="s">
        <v>3105</v>
      </c>
      <c r="H3810" s="8"/>
    </row>
    <row r="3811" ht="25" customHeight="1" spans="1:8">
      <c r="A3811" s="6">
        <v>3809</v>
      </c>
      <c r="B3811" s="7" t="str">
        <f t="shared" si="814"/>
        <v>309</v>
      </c>
      <c r="C3811" s="7" t="s">
        <v>3062</v>
      </c>
      <c r="D3811" s="7" t="s">
        <v>2584</v>
      </c>
      <c r="E3811" s="7" t="str">
        <f>"李承照"</f>
        <v>李承照</v>
      </c>
      <c r="F3811" s="7" t="str">
        <f t="shared" si="823"/>
        <v>男</v>
      </c>
      <c r="G3811" s="7" t="s">
        <v>3106</v>
      </c>
      <c r="H3811" s="8"/>
    </row>
    <row r="3812" ht="25" customHeight="1" spans="1:8">
      <c r="A3812" s="6">
        <v>3810</v>
      </c>
      <c r="B3812" s="7" t="str">
        <f t="shared" si="814"/>
        <v>309</v>
      </c>
      <c r="C3812" s="7" t="s">
        <v>3062</v>
      </c>
      <c r="D3812" s="7" t="s">
        <v>2584</v>
      </c>
      <c r="E3812" s="7" t="str">
        <f>"曾月芳"</f>
        <v>曾月芳</v>
      </c>
      <c r="F3812" s="7" t="str">
        <f>"女"</f>
        <v>女</v>
      </c>
      <c r="G3812" s="7" t="s">
        <v>3107</v>
      </c>
      <c r="H3812" s="8"/>
    </row>
    <row r="3813" ht="25" customHeight="1" spans="1:8">
      <c r="A3813" s="6">
        <v>3811</v>
      </c>
      <c r="B3813" s="7" t="str">
        <f t="shared" si="814"/>
        <v>309</v>
      </c>
      <c r="C3813" s="7" t="s">
        <v>3062</v>
      </c>
      <c r="D3813" s="7" t="s">
        <v>2584</v>
      </c>
      <c r="E3813" s="7" t="str">
        <f>"龙丁广"</f>
        <v>龙丁广</v>
      </c>
      <c r="F3813" s="7" t="str">
        <f t="shared" ref="F3813:F3817" si="824">"男"</f>
        <v>男</v>
      </c>
      <c r="G3813" s="7" t="s">
        <v>3108</v>
      </c>
      <c r="H3813" s="8"/>
    </row>
    <row r="3814" ht="25" customHeight="1" spans="1:8">
      <c r="A3814" s="6">
        <v>3812</v>
      </c>
      <c r="B3814" s="7" t="str">
        <f t="shared" si="814"/>
        <v>309</v>
      </c>
      <c r="C3814" s="7" t="s">
        <v>3062</v>
      </c>
      <c r="D3814" s="7" t="s">
        <v>2584</v>
      </c>
      <c r="E3814" s="7" t="str">
        <f>"黄实帅"</f>
        <v>黄实帅</v>
      </c>
      <c r="F3814" s="7" t="str">
        <f t="shared" si="824"/>
        <v>男</v>
      </c>
      <c r="G3814" s="7" t="s">
        <v>1888</v>
      </c>
      <c r="H3814" s="8"/>
    </row>
    <row r="3815" ht="25" customHeight="1" spans="1:8">
      <c r="A3815" s="6">
        <v>3813</v>
      </c>
      <c r="B3815" s="7" t="str">
        <f t="shared" si="814"/>
        <v>309</v>
      </c>
      <c r="C3815" s="7" t="s">
        <v>3062</v>
      </c>
      <c r="D3815" s="7" t="s">
        <v>2584</v>
      </c>
      <c r="E3815" s="7" t="str">
        <f>"吉才杰"</f>
        <v>吉才杰</v>
      </c>
      <c r="F3815" s="7" t="str">
        <f t="shared" si="824"/>
        <v>男</v>
      </c>
      <c r="G3815" s="7" t="s">
        <v>3109</v>
      </c>
      <c r="H3815" s="8"/>
    </row>
    <row r="3816" ht="25" customHeight="1" spans="1:8">
      <c r="A3816" s="6">
        <v>3814</v>
      </c>
      <c r="B3816" s="7" t="str">
        <f t="shared" si="814"/>
        <v>309</v>
      </c>
      <c r="C3816" s="7" t="s">
        <v>3062</v>
      </c>
      <c r="D3816" s="7" t="s">
        <v>2584</v>
      </c>
      <c r="E3816" s="7" t="str">
        <f>"薛巽腾"</f>
        <v>薛巽腾</v>
      </c>
      <c r="F3816" s="7" t="str">
        <f t="shared" si="824"/>
        <v>男</v>
      </c>
      <c r="G3816" s="7" t="s">
        <v>3110</v>
      </c>
      <c r="H3816" s="8"/>
    </row>
    <row r="3817" ht="25" customHeight="1" spans="1:8">
      <c r="A3817" s="6">
        <v>3815</v>
      </c>
      <c r="B3817" s="7" t="str">
        <f t="shared" si="814"/>
        <v>309</v>
      </c>
      <c r="C3817" s="7" t="s">
        <v>3062</v>
      </c>
      <c r="D3817" s="7" t="s">
        <v>2584</v>
      </c>
      <c r="E3817" s="7" t="str">
        <f>"林珅晖"</f>
        <v>林珅晖</v>
      </c>
      <c r="F3817" s="7" t="str">
        <f t="shared" si="824"/>
        <v>男</v>
      </c>
      <c r="G3817" s="7" t="s">
        <v>3111</v>
      </c>
      <c r="H3817" s="8"/>
    </row>
    <row r="3818" ht="25" customHeight="1" spans="1:8">
      <c r="A3818" s="6">
        <v>3816</v>
      </c>
      <c r="B3818" s="7" t="str">
        <f t="shared" si="814"/>
        <v>309</v>
      </c>
      <c r="C3818" s="7" t="s">
        <v>3062</v>
      </c>
      <c r="D3818" s="7" t="s">
        <v>2584</v>
      </c>
      <c r="E3818" s="7" t="str">
        <f>"谢稷"</f>
        <v>谢稷</v>
      </c>
      <c r="F3818" s="7" t="str">
        <f>"女"</f>
        <v>女</v>
      </c>
      <c r="G3818" s="7" t="s">
        <v>3112</v>
      </c>
      <c r="H3818" s="8"/>
    </row>
    <row r="3819" ht="25" customHeight="1" spans="1:8">
      <c r="A3819" s="6">
        <v>3817</v>
      </c>
      <c r="B3819" s="7" t="str">
        <f t="shared" si="814"/>
        <v>309</v>
      </c>
      <c r="C3819" s="7" t="s">
        <v>3062</v>
      </c>
      <c r="D3819" s="7" t="s">
        <v>2584</v>
      </c>
      <c r="E3819" s="7" t="str">
        <f>"辜林帅"</f>
        <v>辜林帅</v>
      </c>
      <c r="F3819" s="7" t="str">
        <f t="shared" ref="F3819:F3827" si="825">"男"</f>
        <v>男</v>
      </c>
      <c r="G3819" s="7" t="s">
        <v>3113</v>
      </c>
      <c r="H3819" s="8"/>
    </row>
    <row r="3820" ht="25" customHeight="1" spans="1:8">
      <c r="A3820" s="6">
        <v>3818</v>
      </c>
      <c r="B3820" s="7" t="str">
        <f t="shared" si="814"/>
        <v>309</v>
      </c>
      <c r="C3820" s="7" t="s">
        <v>3062</v>
      </c>
      <c r="D3820" s="7" t="s">
        <v>2584</v>
      </c>
      <c r="E3820" s="7" t="str">
        <f>"张淑婷"</f>
        <v>张淑婷</v>
      </c>
      <c r="F3820" s="7" t="str">
        <f>"女"</f>
        <v>女</v>
      </c>
      <c r="G3820" s="7" t="s">
        <v>3114</v>
      </c>
      <c r="H3820" s="8"/>
    </row>
    <row r="3821" ht="25" customHeight="1" spans="1:8">
      <c r="A3821" s="6">
        <v>3819</v>
      </c>
      <c r="B3821" s="7" t="str">
        <f t="shared" si="814"/>
        <v>309</v>
      </c>
      <c r="C3821" s="7" t="s">
        <v>3062</v>
      </c>
      <c r="D3821" s="7" t="s">
        <v>2584</v>
      </c>
      <c r="E3821" s="7" t="str">
        <f>"黎炳俊"</f>
        <v>黎炳俊</v>
      </c>
      <c r="F3821" s="7" t="str">
        <f t="shared" si="825"/>
        <v>男</v>
      </c>
      <c r="G3821" s="7" t="s">
        <v>3115</v>
      </c>
      <c r="H3821" s="8"/>
    </row>
    <row r="3822" ht="25" customHeight="1" spans="1:8">
      <c r="A3822" s="6">
        <v>3820</v>
      </c>
      <c r="B3822" s="7" t="str">
        <f t="shared" ref="B3822:B3881" si="826">"309"</f>
        <v>309</v>
      </c>
      <c r="C3822" s="7" t="s">
        <v>3062</v>
      </c>
      <c r="D3822" s="7" t="s">
        <v>2584</v>
      </c>
      <c r="E3822" s="7" t="str">
        <f>"钟凤涵"</f>
        <v>钟凤涵</v>
      </c>
      <c r="F3822" s="7" t="str">
        <f t="shared" si="825"/>
        <v>男</v>
      </c>
      <c r="G3822" s="7" t="s">
        <v>3116</v>
      </c>
      <c r="H3822" s="8"/>
    </row>
    <row r="3823" ht="25" customHeight="1" spans="1:8">
      <c r="A3823" s="6">
        <v>3821</v>
      </c>
      <c r="B3823" s="7" t="str">
        <f t="shared" si="826"/>
        <v>309</v>
      </c>
      <c r="C3823" s="7" t="s">
        <v>3062</v>
      </c>
      <c r="D3823" s="7" t="s">
        <v>2584</v>
      </c>
      <c r="E3823" s="7" t="str">
        <f>"刘庭宝"</f>
        <v>刘庭宝</v>
      </c>
      <c r="F3823" s="7" t="str">
        <f t="shared" si="825"/>
        <v>男</v>
      </c>
      <c r="G3823" s="7" t="s">
        <v>3117</v>
      </c>
      <c r="H3823" s="8"/>
    </row>
    <row r="3824" ht="25" customHeight="1" spans="1:8">
      <c r="A3824" s="6">
        <v>3822</v>
      </c>
      <c r="B3824" s="7" t="str">
        <f t="shared" si="826"/>
        <v>309</v>
      </c>
      <c r="C3824" s="7" t="s">
        <v>3062</v>
      </c>
      <c r="D3824" s="7" t="s">
        <v>2584</v>
      </c>
      <c r="E3824" s="7" t="str">
        <f>"王笑洋"</f>
        <v>王笑洋</v>
      </c>
      <c r="F3824" s="7" t="str">
        <f t="shared" si="825"/>
        <v>男</v>
      </c>
      <c r="G3824" s="7" t="s">
        <v>3118</v>
      </c>
      <c r="H3824" s="8"/>
    </row>
    <row r="3825" ht="25" customHeight="1" spans="1:8">
      <c r="A3825" s="6">
        <v>3823</v>
      </c>
      <c r="B3825" s="7" t="str">
        <f t="shared" si="826"/>
        <v>309</v>
      </c>
      <c r="C3825" s="7" t="s">
        <v>3062</v>
      </c>
      <c r="D3825" s="7" t="s">
        <v>2584</v>
      </c>
      <c r="E3825" s="7" t="str">
        <f>"张天天"</f>
        <v>张天天</v>
      </c>
      <c r="F3825" s="7" t="str">
        <f t="shared" si="825"/>
        <v>男</v>
      </c>
      <c r="G3825" s="7" t="s">
        <v>3119</v>
      </c>
      <c r="H3825" s="8"/>
    </row>
    <row r="3826" ht="25" customHeight="1" spans="1:8">
      <c r="A3826" s="6">
        <v>3824</v>
      </c>
      <c r="B3826" s="7" t="str">
        <f t="shared" si="826"/>
        <v>309</v>
      </c>
      <c r="C3826" s="7" t="s">
        <v>3062</v>
      </c>
      <c r="D3826" s="7" t="s">
        <v>2584</v>
      </c>
      <c r="E3826" s="7" t="str">
        <f>"李智超"</f>
        <v>李智超</v>
      </c>
      <c r="F3826" s="7" t="str">
        <f t="shared" si="825"/>
        <v>男</v>
      </c>
      <c r="G3826" s="7" t="s">
        <v>3120</v>
      </c>
      <c r="H3826" s="8"/>
    </row>
    <row r="3827" ht="25" customHeight="1" spans="1:8">
      <c r="A3827" s="6">
        <v>3825</v>
      </c>
      <c r="B3827" s="7" t="str">
        <f t="shared" si="826"/>
        <v>309</v>
      </c>
      <c r="C3827" s="7" t="s">
        <v>3062</v>
      </c>
      <c r="D3827" s="7" t="s">
        <v>2584</v>
      </c>
      <c r="E3827" s="7" t="str">
        <f>"何道鑫"</f>
        <v>何道鑫</v>
      </c>
      <c r="F3827" s="7" t="str">
        <f t="shared" si="825"/>
        <v>男</v>
      </c>
      <c r="G3827" s="7" t="s">
        <v>3121</v>
      </c>
      <c r="H3827" s="8"/>
    </row>
    <row r="3828" ht="25" customHeight="1" spans="1:8">
      <c r="A3828" s="6">
        <v>3826</v>
      </c>
      <c r="B3828" s="7" t="str">
        <f t="shared" si="826"/>
        <v>309</v>
      </c>
      <c r="C3828" s="7" t="s">
        <v>3062</v>
      </c>
      <c r="D3828" s="7" t="s">
        <v>2584</v>
      </c>
      <c r="E3828" s="7" t="str">
        <f>"刘露露"</f>
        <v>刘露露</v>
      </c>
      <c r="F3828" s="7" t="str">
        <f>"女"</f>
        <v>女</v>
      </c>
      <c r="G3828" s="7" t="s">
        <v>3122</v>
      </c>
      <c r="H3828" s="8"/>
    </row>
    <row r="3829" ht="25" customHeight="1" spans="1:8">
      <c r="A3829" s="6">
        <v>3827</v>
      </c>
      <c r="B3829" s="7" t="str">
        <f t="shared" si="826"/>
        <v>309</v>
      </c>
      <c r="C3829" s="7" t="s">
        <v>3062</v>
      </c>
      <c r="D3829" s="7" t="s">
        <v>2584</v>
      </c>
      <c r="E3829" s="7" t="str">
        <f>"唐明翔"</f>
        <v>唐明翔</v>
      </c>
      <c r="F3829" s="7" t="str">
        <f t="shared" ref="F3829:F3833" si="827">"男"</f>
        <v>男</v>
      </c>
      <c r="G3829" s="7" t="s">
        <v>15</v>
      </c>
      <c r="H3829" s="8"/>
    </row>
    <row r="3830" ht="25" customHeight="1" spans="1:8">
      <c r="A3830" s="6">
        <v>3828</v>
      </c>
      <c r="B3830" s="7" t="str">
        <f t="shared" si="826"/>
        <v>309</v>
      </c>
      <c r="C3830" s="7" t="s">
        <v>3062</v>
      </c>
      <c r="D3830" s="7" t="s">
        <v>2584</v>
      </c>
      <c r="E3830" s="7" t="str">
        <f>"刘裕锦"</f>
        <v>刘裕锦</v>
      </c>
      <c r="F3830" s="7" t="str">
        <f t="shared" si="827"/>
        <v>男</v>
      </c>
      <c r="G3830" s="7" t="s">
        <v>3123</v>
      </c>
      <c r="H3830" s="8"/>
    </row>
    <row r="3831" ht="25" customHeight="1" spans="1:8">
      <c r="A3831" s="6">
        <v>3829</v>
      </c>
      <c r="B3831" s="7" t="str">
        <f t="shared" si="826"/>
        <v>309</v>
      </c>
      <c r="C3831" s="7" t="s">
        <v>3062</v>
      </c>
      <c r="D3831" s="7" t="s">
        <v>2584</v>
      </c>
      <c r="E3831" s="7" t="str">
        <f>"童志诚"</f>
        <v>童志诚</v>
      </c>
      <c r="F3831" s="7" t="str">
        <f t="shared" si="827"/>
        <v>男</v>
      </c>
      <c r="G3831" s="7" t="s">
        <v>3124</v>
      </c>
      <c r="H3831" s="8"/>
    </row>
    <row r="3832" ht="25" customHeight="1" spans="1:8">
      <c r="A3832" s="6">
        <v>3830</v>
      </c>
      <c r="B3832" s="7" t="str">
        <f t="shared" si="826"/>
        <v>309</v>
      </c>
      <c r="C3832" s="7" t="s">
        <v>3062</v>
      </c>
      <c r="D3832" s="7" t="s">
        <v>2584</v>
      </c>
      <c r="E3832" s="7" t="str">
        <f>"张建国"</f>
        <v>张建国</v>
      </c>
      <c r="F3832" s="7" t="str">
        <f t="shared" si="827"/>
        <v>男</v>
      </c>
      <c r="G3832" s="7" t="s">
        <v>3125</v>
      </c>
      <c r="H3832" s="8"/>
    </row>
    <row r="3833" ht="25" customHeight="1" spans="1:8">
      <c r="A3833" s="6">
        <v>3831</v>
      </c>
      <c r="B3833" s="7" t="str">
        <f t="shared" si="826"/>
        <v>309</v>
      </c>
      <c r="C3833" s="7" t="s">
        <v>3062</v>
      </c>
      <c r="D3833" s="7" t="s">
        <v>2584</v>
      </c>
      <c r="E3833" s="7" t="str">
        <f>"陈国成"</f>
        <v>陈国成</v>
      </c>
      <c r="F3833" s="7" t="str">
        <f t="shared" si="827"/>
        <v>男</v>
      </c>
      <c r="G3833" s="7" t="s">
        <v>3126</v>
      </c>
      <c r="H3833" s="8"/>
    </row>
    <row r="3834" ht="25" customHeight="1" spans="1:8">
      <c r="A3834" s="6">
        <v>3832</v>
      </c>
      <c r="B3834" s="7" t="str">
        <f t="shared" si="826"/>
        <v>309</v>
      </c>
      <c r="C3834" s="7" t="s">
        <v>3062</v>
      </c>
      <c r="D3834" s="7" t="s">
        <v>2584</v>
      </c>
      <c r="E3834" s="7" t="str">
        <f>"王新茹"</f>
        <v>王新茹</v>
      </c>
      <c r="F3834" s="7" t="str">
        <f>"女"</f>
        <v>女</v>
      </c>
      <c r="G3834" s="7" t="s">
        <v>3127</v>
      </c>
      <c r="H3834" s="8"/>
    </row>
    <row r="3835" ht="25" customHeight="1" spans="1:8">
      <c r="A3835" s="6">
        <v>3833</v>
      </c>
      <c r="B3835" s="7" t="str">
        <f t="shared" si="826"/>
        <v>309</v>
      </c>
      <c r="C3835" s="7" t="s">
        <v>3062</v>
      </c>
      <c r="D3835" s="7" t="s">
        <v>2584</v>
      </c>
      <c r="E3835" s="7" t="str">
        <f>"顾绍润"</f>
        <v>顾绍润</v>
      </c>
      <c r="F3835" s="7" t="str">
        <f t="shared" ref="F3835:F3843" si="828">"男"</f>
        <v>男</v>
      </c>
      <c r="G3835" s="7" t="s">
        <v>3128</v>
      </c>
      <c r="H3835" s="8"/>
    </row>
    <row r="3836" ht="25" customHeight="1" spans="1:8">
      <c r="A3836" s="6">
        <v>3834</v>
      </c>
      <c r="B3836" s="7" t="str">
        <f t="shared" si="826"/>
        <v>309</v>
      </c>
      <c r="C3836" s="7" t="s">
        <v>3062</v>
      </c>
      <c r="D3836" s="7" t="s">
        <v>2584</v>
      </c>
      <c r="E3836" s="7" t="str">
        <f>"符宗专"</f>
        <v>符宗专</v>
      </c>
      <c r="F3836" s="7" t="str">
        <f t="shared" si="828"/>
        <v>男</v>
      </c>
      <c r="G3836" s="7" t="s">
        <v>3129</v>
      </c>
      <c r="H3836" s="8"/>
    </row>
    <row r="3837" ht="25" customHeight="1" spans="1:8">
      <c r="A3837" s="6">
        <v>3835</v>
      </c>
      <c r="B3837" s="7" t="str">
        <f t="shared" si="826"/>
        <v>309</v>
      </c>
      <c r="C3837" s="7" t="s">
        <v>3062</v>
      </c>
      <c r="D3837" s="7" t="s">
        <v>2584</v>
      </c>
      <c r="E3837" s="7" t="str">
        <f>"王艳"</f>
        <v>王艳</v>
      </c>
      <c r="F3837" s="7" t="str">
        <f>"女"</f>
        <v>女</v>
      </c>
      <c r="G3837" s="7" t="s">
        <v>3130</v>
      </c>
      <c r="H3837" s="8"/>
    </row>
    <row r="3838" ht="25" customHeight="1" spans="1:8">
      <c r="A3838" s="6">
        <v>3836</v>
      </c>
      <c r="B3838" s="7" t="str">
        <f t="shared" si="826"/>
        <v>309</v>
      </c>
      <c r="C3838" s="7" t="s">
        <v>3062</v>
      </c>
      <c r="D3838" s="7" t="s">
        <v>2584</v>
      </c>
      <c r="E3838" s="7" t="str">
        <f>"郑堂基"</f>
        <v>郑堂基</v>
      </c>
      <c r="F3838" s="7" t="str">
        <f t="shared" si="828"/>
        <v>男</v>
      </c>
      <c r="G3838" s="7" t="s">
        <v>3131</v>
      </c>
      <c r="H3838" s="8"/>
    </row>
    <row r="3839" ht="25" customHeight="1" spans="1:8">
      <c r="A3839" s="6">
        <v>3837</v>
      </c>
      <c r="B3839" s="7" t="str">
        <f t="shared" si="826"/>
        <v>309</v>
      </c>
      <c r="C3839" s="7" t="s">
        <v>3062</v>
      </c>
      <c r="D3839" s="7" t="s">
        <v>2584</v>
      </c>
      <c r="E3839" s="7" t="str">
        <f>"杜代富"</f>
        <v>杜代富</v>
      </c>
      <c r="F3839" s="7" t="str">
        <f t="shared" si="828"/>
        <v>男</v>
      </c>
      <c r="G3839" s="7" t="s">
        <v>3132</v>
      </c>
      <c r="H3839" s="8"/>
    </row>
    <row r="3840" ht="25" customHeight="1" spans="1:8">
      <c r="A3840" s="6">
        <v>3838</v>
      </c>
      <c r="B3840" s="7" t="str">
        <f t="shared" si="826"/>
        <v>309</v>
      </c>
      <c r="C3840" s="7" t="s">
        <v>3062</v>
      </c>
      <c r="D3840" s="7" t="s">
        <v>2584</v>
      </c>
      <c r="E3840" s="7" t="str">
        <f>"张乐锦"</f>
        <v>张乐锦</v>
      </c>
      <c r="F3840" s="7" t="str">
        <f t="shared" si="828"/>
        <v>男</v>
      </c>
      <c r="G3840" s="7" t="s">
        <v>3133</v>
      </c>
      <c r="H3840" s="8"/>
    </row>
    <row r="3841" ht="25" customHeight="1" spans="1:8">
      <c r="A3841" s="6">
        <v>3839</v>
      </c>
      <c r="B3841" s="7" t="str">
        <f t="shared" si="826"/>
        <v>309</v>
      </c>
      <c r="C3841" s="7" t="s">
        <v>3062</v>
      </c>
      <c r="D3841" s="7" t="s">
        <v>2584</v>
      </c>
      <c r="E3841" s="7" t="str">
        <f>"王政森"</f>
        <v>王政森</v>
      </c>
      <c r="F3841" s="7" t="str">
        <f t="shared" si="828"/>
        <v>男</v>
      </c>
      <c r="G3841" s="7" t="s">
        <v>3134</v>
      </c>
      <c r="H3841" s="8"/>
    </row>
    <row r="3842" ht="25" customHeight="1" spans="1:8">
      <c r="A3842" s="6">
        <v>3840</v>
      </c>
      <c r="B3842" s="7" t="str">
        <f t="shared" si="826"/>
        <v>309</v>
      </c>
      <c r="C3842" s="7" t="s">
        <v>3062</v>
      </c>
      <c r="D3842" s="7" t="s">
        <v>2584</v>
      </c>
      <c r="E3842" s="7" t="str">
        <f>"江星"</f>
        <v>江星</v>
      </c>
      <c r="F3842" s="7" t="str">
        <f t="shared" si="828"/>
        <v>男</v>
      </c>
      <c r="G3842" s="7" t="s">
        <v>3135</v>
      </c>
      <c r="H3842" s="8"/>
    </row>
    <row r="3843" ht="25" customHeight="1" spans="1:8">
      <c r="A3843" s="6">
        <v>3841</v>
      </c>
      <c r="B3843" s="7" t="str">
        <f t="shared" si="826"/>
        <v>309</v>
      </c>
      <c r="C3843" s="7" t="s">
        <v>3062</v>
      </c>
      <c r="D3843" s="7" t="s">
        <v>2584</v>
      </c>
      <c r="E3843" s="7" t="str">
        <f>"曹正"</f>
        <v>曹正</v>
      </c>
      <c r="F3843" s="7" t="str">
        <f t="shared" si="828"/>
        <v>男</v>
      </c>
      <c r="G3843" s="7" t="s">
        <v>3136</v>
      </c>
      <c r="H3843" s="8"/>
    </row>
    <row r="3844" ht="25" customHeight="1" spans="1:8">
      <c r="A3844" s="6">
        <v>3842</v>
      </c>
      <c r="B3844" s="7" t="str">
        <f t="shared" si="826"/>
        <v>309</v>
      </c>
      <c r="C3844" s="7" t="s">
        <v>3062</v>
      </c>
      <c r="D3844" s="7" t="s">
        <v>2584</v>
      </c>
      <c r="E3844" s="7" t="str">
        <f>"王净"</f>
        <v>王净</v>
      </c>
      <c r="F3844" s="7" t="str">
        <f>"女"</f>
        <v>女</v>
      </c>
      <c r="G3844" s="7" t="s">
        <v>376</v>
      </c>
      <c r="H3844" s="8"/>
    </row>
    <row r="3845" ht="25" customHeight="1" spans="1:8">
      <c r="A3845" s="6">
        <v>3843</v>
      </c>
      <c r="B3845" s="7" t="str">
        <f t="shared" si="826"/>
        <v>309</v>
      </c>
      <c r="C3845" s="7" t="s">
        <v>3062</v>
      </c>
      <c r="D3845" s="7" t="s">
        <v>2584</v>
      </c>
      <c r="E3845" s="7" t="str">
        <f>"关海保"</f>
        <v>关海保</v>
      </c>
      <c r="F3845" s="7" t="str">
        <f t="shared" ref="F3845:F3851" si="829">"男"</f>
        <v>男</v>
      </c>
      <c r="G3845" s="7" t="s">
        <v>3137</v>
      </c>
      <c r="H3845" s="8"/>
    </row>
    <row r="3846" ht="25" customHeight="1" spans="1:8">
      <c r="A3846" s="6">
        <v>3844</v>
      </c>
      <c r="B3846" s="7" t="str">
        <f t="shared" si="826"/>
        <v>309</v>
      </c>
      <c r="C3846" s="7" t="s">
        <v>3062</v>
      </c>
      <c r="D3846" s="7" t="s">
        <v>2584</v>
      </c>
      <c r="E3846" s="7" t="str">
        <f>"刘宦"</f>
        <v>刘宦</v>
      </c>
      <c r="F3846" s="7" t="str">
        <f t="shared" si="829"/>
        <v>男</v>
      </c>
      <c r="G3846" s="7" t="s">
        <v>3138</v>
      </c>
      <c r="H3846" s="8"/>
    </row>
    <row r="3847" ht="25" customHeight="1" spans="1:8">
      <c r="A3847" s="6">
        <v>3845</v>
      </c>
      <c r="B3847" s="7" t="str">
        <f t="shared" si="826"/>
        <v>309</v>
      </c>
      <c r="C3847" s="7" t="s">
        <v>3062</v>
      </c>
      <c r="D3847" s="7" t="s">
        <v>2584</v>
      </c>
      <c r="E3847" s="7" t="str">
        <f>"蒲博"</f>
        <v>蒲博</v>
      </c>
      <c r="F3847" s="7" t="str">
        <f t="shared" si="829"/>
        <v>男</v>
      </c>
      <c r="G3847" s="7" t="s">
        <v>2452</v>
      </c>
      <c r="H3847" s="8"/>
    </row>
    <row r="3848" ht="25" customHeight="1" spans="1:8">
      <c r="A3848" s="6">
        <v>3846</v>
      </c>
      <c r="B3848" s="7" t="str">
        <f t="shared" si="826"/>
        <v>309</v>
      </c>
      <c r="C3848" s="7" t="s">
        <v>3062</v>
      </c>
      <c r="D3848" s="7" t="s">
        <v>2584</v>
      </c>
      <c r="E3848" s="7" t="str">
        <f>"符传达"</f>
        <v>符传达</v>
      </c>
      <c r="F3848" s="7" t="str">
        <f t="shared" si="829"/>
        <v>男</v>
      </c>
      <c r="G3848" s="7" t="s">
        <v>3139</v>
      </c>
      <c r="H3848" s="8"/>
    </row>
    <row r="3849" ht="25" customHeight="1" spans="1:8">
      <c r="A3849" s="6">
        <v>3847</v>
      </c>
      <c r="B3849" s="7" t="str">
        <f t="shared" si="826"/>
        <v>309</v>
      </c>
      <c r="C3849" s="7" t="s">
        <v>3062</v>
      </c>
      <c r="D3849" s="7" t="s">
        <v>2584</v>
      </c>
      <c r="E3849" s="7" t="str">
        <f>"杨争光"</f>
        <v>杨争光</v>
      </c>
      <c r="F3849" s="7" t="str">
        <f t="shared" si="829"/>
        <v>男</v>
      </c>
      <c r="G3849" s="7" t="s">
        <v>3140</v>
      </c>
      <c r="H3849" s="8"/>
    </row>
    <row r="3850" ht="25" customHeight="1" spans="1:8">
      <c r="A3850" s="6">
        <v>3848</v>
      </c>
      <c r="B3850" s="7" t="str">
        <f t="shared" si="826"/>
        <v>309</v>
      </c>
      <c r="C3850" s="7" t="s">
        <v>3062</v>
      </c>
      <c r="D3850" s="7" t="s">
        <v>2584</v>
      </c>
      <c r="E3850" s="7" t="str">
        <f>"刘科弟"</f>
        <v>刘科弟</v>
      </c>
      <c r="F3850" s="7" t="str">
        <f t="shared" si="829"/>
        <v>男</v>
      </c>
      <c r="G3850" s="7" t="s">
        <v>3141</v>
      </c>
      <c r="H3850" s="8"/>
    </row>
    <row r="3851" ht="25" customHeight="1" spans="1:8">
      <c r="A3851" s="6">
        <v>3849</v>
      </c>
      <c r="B3851" s="7" t="str">
        <f t="shared" si="826"/>
        <v>309</v>
      </c>
      <c r="C3851" s="7" t="s">
        <v>3062</v>
      </c>
      <c r="D3851" s="7" t="s">
        <v>2584</v>
      </c>
      <c r="E3851" s="7" t="str">
        <f>"吴学政"</f>
        <v>吴学政</v>
      </c>
      <c r="F3851" s="7" t="str">
        <f t="shared" si="829"/>
        <v>男</v>
      </c>
      <c r="G3851" s="7" t="s">
        <v>1258</v>
      </c>
      <c r="H3851" s="8"/>
    </row>
    <row r="3852" ht="25" customHeight="1" spans="1:8">
      <c r="A3852" s="6">
        <v>3850</v>
      </c>
      <c r="B3852" s="7" t="str">
        <f t="shared" si="826"/>
        <v>309</v>
      </c>
      <c r="C3852" s="7" t="s">
        <v>3062</v>
      </c>
      <c r="D3852" s="7" t="s">
        <v>2584</v>
      </c>
      <c r="E3852" s="7" t="str">
        <f>"高玉恋"</f>
        <v>高玉恋</v>
      </c>
      <c r="F3852" s="7" t="str">
        <f>"女"</f>
        <v>女</v>
      </c>
      <c r="G3852" s="7" t="s">
        <v>3142</v>
      </c>
      <c r="H3852" s="8"/>
    </row>
    <row r="3853" ht="25" customHeight="1" spans="1:8">
      <c r="A3853" s="6">
        <v>3851</v>
      </c>
      <c r="B3853" s="7" t="str">
        <f t="shared" si="826"/>
        <v>309</v>
      </c>
      <c r="C3853" s="7" t="s">
        <v>3062</v>
      </c>
      <c r="D3853" s="7" t="s">
        <v>2584</v>
      </c>
      <c r="E3853" s="7" t="str">
        <f>"吴南鑫"</f>
        <v>吴南鑫</v>
      </c>
      <c r="F3853" s="7" t="str">
        <f t="shared" ref="F3853:F3864" si="830">"男"</f>
        <v>男</v>
      </c>
      <c r="G3853" s="7" t="s">
        <v>1877</v>
      </c>
      <c r="H3853" s="8"/>
    </row>
    <row r="3854" ht="25" customHeight="1" spans="1:8">
      <c r="A3854" s="6">
        <v>3852</v>
      </c>
      <c r="B3854" s="7" t="str">
        <f t="shared" si="826"/>
        <v>309</v>
      </c>
      <c r="C3854" s="7" t="s">
        <v>3062</v>
      </c>
      <c r="D3854" s="7" t="s">
        <v>2584</v>
      </c>
      <c r="E3854" s="7" t="str">
        <f>"吴文洪"</f>
        <v>吴文洪</v>
      </c>
      <c r="F3854" s="7" t="str">
        <f t="shared" si="830"/>
        <v>男</v>
      </c>
      <c r="G3854" s="7" t="s">
        <v>3143</v>
      </c>
      <c r="H3854" s="8"/>
    </row>
    <row r="3855" ht="25" customHeight="1" spans="1:8">
      <c r="A3855" s="6">
        <v>3853</v>
      </c>
      <c r="B3855" s="7" t="str">
        <f t="shared" si="826"/>
        <v>309</v>
      </c>
      <c r="C3855" s="7" t="s">
        <v>3062</v>
      </c>
      <c r="D3855" s="7" t="s">
        <v>2584</v>
      </c>
      <c r="E3855" s="7" t="str">
        <f>"牛远春"</f>
        <v>牛远春</v>
      </c>
      <c r="F3855" s="7" t="str">
        <f t="shared" si="830"/>
        <v>男</v>
      </c>
      <c r="G3855" s="7" t="s">
        <v>3144</v>
      </c>
      <c r="H3855" s="8"/>
    </row>
    <row r="3856" ht="25" customHeight="1" spans="1:8">
      <c r="A3856" s="6">
        <v>3854</v>
      </c>
      <c r="B3856" s="7" t="str">
        <f t="shared" si="826"/>
        <v>309</v>
      </c>
      <c r="C3856" s="7" t="s">
        <v>3062</v>
      </c>
      <c r="D3856" s="7" t="s">
        <v>2584</v>
      </c>
      <c r="E3856" s="7" t="str">
        <f>"李涛"</f>
        <v>李涛</v>
      </c>
      <c r="F3856" s="7" t="str">
        <f t="shared" si="830"/>
        <v>男</v>
      </c>
      <c r="G3856" s="7" t="s">
        <v>3145</v>
      </c>
      <c r="H3856" s="8"/>
    </row>
    <row r="3857" ht="25" customHeight="1" spans="1:8">
      <c r="A3857" s="6">
        <v>3855</v>
      </c>
      <c r="B3857" s="7" t="str">
        <f t="shared" si="826"/>
        <v>309</v>
      </c>
      <c r="C3857" s="7" t="s">
        <v>3062</v>
      </c>
      <c r="D3857" s="7" t="s">
        <v>2584</v>
      </c>
      <c r="E3857" s="7" t="str">
        <f>"唐英达"</f>
        <v>唐英达</v>
      </c>
      <c r="F3857" s="7" t="str">
        <f t="shared" si="830"/>
        <v>男</v>
      </c>
      <c r="G3857" s="7" t="s">
        <v>3146</v>
      </c>
      <c r="H3857" s="8"/>
    </row>
    <row r="3858" ht="25" customHeight="1" spans="1:8">
      <c r="A3858" s="6">
        <v>3856</v>
      </c>
      <c r="B3858" s="7" t="str">
        <f t="shared" si="826"/>
        <v>309</v>
      </c>
      <c r="C3858" s="7" t="s">
        <v>3062</v>
      </c>
      <c r="D3858" s="7" t="s">
        <v>2584</v>
      </c>
      <c r="E3858" s="7" t="str">
        <f>"蔡玮琦"</f>
        <v>蔡玮琦</v>
      </c>
      <c r="F3858" s="7" t="str">
        <f t="shared" si="830"/>
        <v>男</v>
      </c>
      <c r="G3858" s="7" t="s">
        <v>2808</v>
      </c>
      <c r="H3858" s="8"/>
    </row>
    <row r="3859" ht="25" customHeight="1" spans="1:8">
      <c r="A3859" s="6">
        <v>3857</v>
      </c>
      <c r="B3859" s="7" t="str">
        <f t="shared" si="826"/>
        <v>309</v>
      </c>
      <c r="C3859" s="7" t="s">
        <v>3062</v>
      </c>
      <c r="D3859" s="7" t="s">
        <v>2584</v>
      </c>
      <c r="E3859" s="7" t="str">
        <f>"王逊"</f>
        <v>王逊</v>
      </c>
      <c r="F3859" s="7" t="str">
        <f t="shared" si="830"/>
        <v>男</v>
      </c>
      <c r="G3859" s="7" t="s">
        <v>3147</v>
      </c>
      <c r="H3859" s="8"/>
    </row>
    <row r="3860" ht="25" customHeight="1" spans="1:8">
      <c r="A3860" s="6">
        <v>3858</v>
      </c>
      <c r="B3860" s="7" t="str">
        <f t="shared" si="826"/>
        <v>309</v>
      </c>
      <c r="C3860" s="7" t="s">
        <v>3062</v>
      </c>
      <c r="D3860" s="7" t="s">
        <v>2584</v>
      </c>
      <c r="E3860" s="7" t="str">
        <f>"陈胜堪"</f>
        <v>陈胜堪</v>
      </c>
      <c r="F3860" s="7" t="str">
        <f t="shared" si="830"/>
        <v>男</v>
      </c>
      <c r="G3860" s="7" t="s">
        <v>3148</v>
      </c>
      <c r="H3860" s="8"/>
    </row>
    <row r="3861" ht="25" customHeight="1" spans="1:8">
      <c r="A3861" s="6">
        <v>3859</v>
      </c>
      <c r="B3861" s="7" t="str">
        <f t="shared" si="826"/>
        <v>309</v>
      </c>
      <c r="C3861" s="7" t="s">
        <v>3062</v>
      </c>
      <c r="D3861" s="7" t="s">
        <v>2584</v>
      </c>
      <c r="E3861" s="7" t="str">
        <f>"钟国隆"</f>
        <v>钟国隆</v>
      </c>
      <c r="F3861" s="7" t="str">
        <f t="shared" si="830"/>
        <v>男</v>
      </c>
      <c r="G3861" s="7" t="s">
        <v>3149</v>
      </c>
      <c r="H3861" s="8"/>
    </row>
    <row r="3862" ht="25" customHeight="1" spans="1:8">
      <c r="A3862" s="6">
        <v>3860</v>
      </c>
      <c r="B3862" s="7" t="str">
        <f t="shared" si="826"/>
        <v>309</v>
      </c>
      <c r="C3862" s="7" t="s">
        <v>3062</v>
      </c>
      <c r="D3862" s="7" t="s">
        <v>2584</v>
      </c>
      <c r="E3862" s="7" t="str">
        <f>"陈学斌"</f>
        <v>陈学斌</v>
      </c>
      <c r="F3862" s="7" t="str">
        <f t="shared" si="830"/>
        <v>男</v>
      </c>
      <c r="G3862" s="7" t="s">
        <v>3150</v>
      </c>
      <c r="H3862" s="8"/>
    </row>
    <row r="3863" ht="25" customHeight="1" spans="1:8">
      <c r="A3863" s="6">
        <v>3861</v>
      </c>
      <c r="B3863" s="7" t="str">
        <f t="shared" si="826"/>
        <v>309</v>
      </c>
      <c r="C3863" s="7" t="s">
        <v>3062</v>
      </c>
      <c r="D3863" s="7" t="s">
        <v>2584</v>
      </c>
      <c r="E3863" s="7" t="str">
        <f>"葛振祥"</f>
        <v>葛振祥</v>
      </c>
      <c r="F3863" s="7" t="str">
        <f t="shared" si="830"/>
        <v>男</v>
      </c>
      <c r="G3863" s="7" t="s">
        <v>3151</v>
      </c>
      <c r="H3863" s="8"/>
    </row>
    <row r="3864" ht="25" customHeight="1" spans="1:8">
      <c r="A3864" s="6">
        <v>3862</v>
      </c>
      <c r="B3864" s="7" t="str">
        <f t="shared" si="826"/>
        <v>309</v>
      </c>
      <c r="C3864" s="7" t="s">
        <v>3062</v>
      </c>
      <c r="D3864" s="7" t="s">
        <v>2584</v>
      </c>
      <c r="E3864" s="7" t="str">
        <f>"陈郅"</f>
        <v>陈郅</v>
      </c>
      <c r="F3864" s="7" t="str">
        <f t="shared" si="830"/>
        <v>男</v>
      </c>
      <c r="G3864" s="7" t="s">
        <v>3152</v>
      </c>
      <c r="H3864" s="8"/>
    </row>
    <row r="3865" ht="25" customHeight="1" spans="1:8">
      <c r="A3865" s="6">
        <v>3863</v>
      </c>
      <c r="B3865" s="7" t="str">
        <f t="shared" si="826"/>
        <v>309</v>
      </c>
      <c r="C3865" s="7" t="s">
        <v>3062</v>
      </c>
      <c r="D3865" s="7" t="s">
        <v>2584</v>
      </c>
      <c r="E3865" s="7" t="str">
        <f>"李丽清"</f>
        <v>李丽清</v>
      </c>
      <c r="F3865" s="7" t="str">
        <f>"女"</f>
        <v>女</v>
      </c>
      <c r="G3865" s="7" t="s">
        <v>3153</v>
      </c>
      <c r="H3865" s="8"/>
    </row>
    <row r="3866" ht="25" customHeight="1" spans="1:8">
      <c r="A3866" s="6">
        <v>3864</v>
      </c>
      <c r="B3866" s="7" t="str">
        <f t="shared" si="826"/>
        <v>309</v>
      </c>
      <c r="C3866" s="7" t="s">
        <v>3062</v>
      </c>
      <c r="D3866" s="7" t="s">
        <v>2584</v>
      </c>
      <c r="E3866" s="7" t="str">
        <f>"张雨柔"</f>
        <v>张雨柔</v>
      </c>
      <c r="F3866" s="7" t="str">
        <f>"女"</f>
        <v>女</v>
      </c>
      <c r="G3866" s="7" t="s">
        <v>3154</v>
      </c>
      <c r="H3866" s="8"/>
    </row>
    <row r="3867" ht="25" customHeight="1" spans="1:8">
      <c r="A3867" s="6">
        <v>3865</v>
      </c>
      <c r="B3867" s="7" t="str">
        <f t="shared" si="826"/>
        <v>309</v>
      </c>
      <c r="C3867" s="7" t="s">
        <v>3062</v>
      </c>
      <c r="D3867" s="7" t="s">
        <v>2584</v>
      </c>
      <c r="E3867" s="7" t="str">
        <f>"周宇昊"</f>
        <v>周宇昊</v>
      </c>
      <c r="F3867" s="7" t="str">
        <f t="shared" ref="F3867:F3872" si="831">"男"</f>
        <v>男</v>
      </c>
      <c r="G3867" s="7" t="s">
        <v>3155</v>
      </c>
      <c r="H3867" s="8"/>
    </row>
    <row r="3868" ht="25" customHeight="1" spans="1:8">
      <c r="A3868" s="6">
        <v>3866</v>
      </c>
      <c r="B3868" s="7" t="str">
        <f t="shared" si="826"/>
        <v>309</v>
      </c>
      <c r="C3868" s="7" t="s">
        <v>3062</v>
      </c>
      <c r="D3868" s="7" t="s">
        <v>2584</v>
      </c>
      <c r="E3868" s="7" t="str">
        <f>"黄诚"</f>
        <v>黄诚</v>
      </c>
      <c r="F3868" s="7" t="str">
        <f t="shared" si="831"/>
        <v>男</v>
      </c>
      <c r="G3868" s="7" t="s">
        <v>3156</v>
      </c>
      <c r="H3868" s="8"/>
    </row>
    <row r="3869" ht="25" customHeight="1" spans="1:8">
      <c r="A3869" s="6">
        <v>3867</v>
      </c>
      <c r="B3869" s="7" t="str">
        <f t="shared" si="826"/>
        <v>309</v>
      </c>
      <c r="C3869" s="7" t="s">
        <v>3062</v>
      </c>
      <c r="D3869" s="7" t="s">
        <v>2584</v>
      </c>
      <c r="E3869" s="7" t="str">
        <f>"何豫"</f>
        <v>何豫</v>
      </c>
      <c r="F3869" s="7" t="str">
        <f t="shared" si="831"/>
        <v>男</v>
      </c>
      <c r="G3869" s="7" t="s">
        <v>3157</v>
      </c>
      <c r="H3869" s="8"/>
    </row>
    <row r="3870" ht="25" customHeight="1" spans="1:8">
      <c r="A3870" s="6">
        <v>3868</v>
      </c>
      <c r="B3870" s="7" t="str">
        <f t="shared" si="826"/>
        <v>309</v>
      </c>
      <c r="C3870" s="7" t="s">
        <v>3062</v>
      </c>
      <c r="D3870" s="7" t="s">
        <v>2584</v>
      </c>
      <c r="E3870" s="7" t="str">
        <f>"王时洪"</f>
        <v>王时洪</v>
      </c>
      <c r="F3870" s="7" t="str">
        <f t="shared" si="831"/>
        <v>男</v>
      </c>
      <c r="G3870" s="7" t="s">
        <v>3158</v>
      </c>
      <c r="H3870" s="8"/>
    </row>
    <row r="3871" ht="25" customHeight="1" spans="1:8">
      <c r="A3871" s="6">
        <v>3869</v>
      </c>
      <c r="B3871" s="7" t="str">
        <f t="shared" si="826"/>
        <v>309</v>
      </c>
      <c r="C3871" s="7" t="s">
        <v>3062</v>
      </c>
      <c r="D3871" s="7" t="s">
        <v>2584</v>
      </c>
      <c r="E3871" s="7" t="str">
        <f>"王凯"</f>
        <v>王凯</v>
      </c>
      <c r="F3871" s="7" t="str">
        <f t="shared" si="831"/>
        <v>男</v>
      </c>
      <c r="G3871" s="7" t="s">
        <v>3159</v>
      </c>
      <c r="H3871" s="8"/>
    </row>
    <row r="3872" ht="25" customHeight="1" spans="1:8">
      <c r="A3872" s="6">
        <v>3870</v>
      </c>
      <c r="B3872" s="7" t="str">
        <f t="shared" si="826"/>
        <v>309</v>
      </c>
      <c r="C3872" s="7" t="s">
        <v>3062</v>
      </c>
      <c r="D3872" s="7" t="s">
        <v>2584</v>
      </c>
      <c r="E3872" s="7" t="str">
        <f>"宋延东"</f>
        <v>宋延东</v>
      </c>
      <c r="F3872" s="7" t="str">
        <f t="shared" si="831"/>
        <v>男</v>
      </c>
      <c r="G3872" s="7" t="s">
        <v>3160</v>
      </c>
      <c r="H3872" s="8"/>
    </row>
    <row r="3873" ht="25" customHeight="1" spans="1:8">
      <c r="A3873" s="6">
        <v>3871</v>
      </c>
      <c r="B3873" s="7" t="str">
        <f t="shared" si="826"/>
        <v>309</v>
      </c>
      <c r="C3873" s="7" t="s">
        <v>3062</v>
      </c>
      <c r="D3873" s="7" t="s">
        <v>2584</v>
      </c>
      <c r="E3873" s="7" t="str">
        <f>"黄娇娇"</f>
        <v>黄娇娇</v>
      </c>
      <c r="F3873" s="7" t="str">
        <f>"女"</f>
        <v>女</v>
      </c>
      <c r="G3873" s="7" t="s">
        <v>3161</v>
      </c>
      <c r="H3873" s="8"/>
    </row>
    <row r="3874" ht="25" customHeight="1" spans="1:8">
      <c r="A3874" s="6">
        <v>3872</v>
      </c>
      <c r="B3874" s="7" t="str">
        <f t="shared" si="826"/>
        <v>309</v>
      </c>
      <c r="C3874" s="7" t="s">
        <v>3062</v>
      </c>
      <c r="D3874" s="7" t="s">
        <v>2584</v>
      </c>
      <c r="E3874" s="7" t="str">
        <f>"陈以研"</f>
        <v>陈以研</v>
      </c>
      <c r="F3874" s="7" t="str">
        <f t="shared" ref="F3874:F3881" si="832">"男"</f>
        <v>男</v>
      </c>
      <c r="G3874" s="7" t="s">
        <v>3162</v>
      </c>
      <c r="H3874" s="8"/>
    </row>
    <row r="3875" ht="25" customHeight="1" spans="1:8">
      <c r="A3875" s="6">
        <v>3873</v>
      </c>
      <c r="B3875" s="7" t="str">
        <f t="shared" si="826"/>
        <v>309</v>
      </c>
      <c r="C3875" s="7" t="s">
        <v>3062</v>
      </c>
      <c r="D3875" s="7" t="s">
        <v>2584</v>
      </c>
      <c r="E3875" s="7" t="str">
        <f>"李思凯"</f>
        <v>李思凯</v>
      </c>
      <c r="F3875" s="7" t="str">
        <f t="shared" si="832"/>
        <v>男</v>
      </c>
      <c r="G3875" s="7" t="s">
        <v>3163</v>
      </c>
      <c r="H3875" s="8"/>
    </row>
    <row r="3876" ht="25" customHeight="1" spans="1:8">
      <c r="A3876" s="6">
        <v>3874</v>
      </c>
      <c r="B3876" s="7" t="str">
        <f t="shared" si="826"/>
        <v>309</v>
      </c>
      <c r="C3876" s="7" t="s">
        <v>3062</v>
      </c>
      <c r="D3876" s="7" t="s">
        <v>2584</v>
      </c>
      <c r="E3876" s="7" t="str">
        <f>"符泮升"</f>
        <v>符泮升</v>
      </c>
      <c r="F3876" s="7" t="str">
        <f t="shared" si="832"/>
        <v>男</v>
      </c>
      <c r="G3876" s="7" t="s">
        <v>1312</v>
      </c>
      <c r="H3876" s="8"/>
    </row>
    <row r="3877" ht="25" customHeight="1" spans="1:8">
      <c r="A3877" s="6">
        <v>3875</v>
      </c>
      <c r="B3877" s="7" t="str">
        <f t="shared" si="826"/>
        <v>309</v>
      </c>
      <c r="C3877" s="7" t="s">
        <v>3062</v>
      </c>
      <c r="D3877" s="7" t="s">
        <v>2584</v>
      </c>
      <c r="E3877" s="7" t="str">
        <f>"符高海"</f>
        <v>符高海</v>
      </c>
      <c r="F3877" s="7" t="str">
        <f t="shared" si="832"/>
        <v>男</v>
      </c>
      <c r="G3877" s="7" t="s">
        <v>3164</v>
      </c>
      <c r="H3877" s="8"/>
    </row>
    <row r="3878" ht="25" customHeight="1" spans="1:8">
      <c r="A3878" s="6">
        <v>3876</v>
      </c>
      <c r="B3878" s="7" t="str">
        <f t="shared" si="826"/>
        <v>309</v>
      </c>
      <c r="C3878" s="7" t="s">
        <v>3062</v>
      </c>
      <c r="D3878" s="7" t="s">
        <v>2584</v>
      </c>
      <c r="E3878" s="7" t="str">
        <f>"符盛宁"</f>
        <v>符盛宁</v>
      </c>
      <c r="F3878" s="7" t="str">
        <f t="shared" si="832"/>
        <v>男</v>
      </c>
      <c r="G3878" s="7" t="s">
        <v>3165</v>
      </c>
      <c r="H3878" s="8"/>
    </row>
    <row r="3879" ht="25" customHeight="1" spans="1:8">
      <c r="A3879" s="6">
        <v>3877</v>
      </c>
      <c r="B3879" s="7" t="str">
        <f t="shared" si="826"/>
        <v>309</v>
      </c>
      <c r="C3879" s="7" t="s">
        <v>3062</v>
      </c>
      <c r="D3879" s="7" t="s">
        <v>2584</v>
      </c>
      <c r="E3879" s="7" t="str">
        <f>"喻江"</f>
        <v>喻江</v>
      </c>
      <c r="F3879" s="7" t="str">
        <f t="shared" si="832"/>
        <v>男</v>
      </c>
      <c r="G3879" s="7" t="s">
        <v>3166</v>
      </c>
      <c r="H3879" s="8"/>
    </row>
    <row r="3880" ht="25" customHeight="1" spans="1:8">
      <c r="A3880" s="6">
        <v>3878</v>
      </c>
      <c r="B3880" s="7" t="str">
        <f t="shared" si="826"/>
        <v>309</v>
      </c>
      <c r="C3880" s="7" t="s">
        <v>3062</v>
      </c>
      <c r="D3880" s="7" t="s">
        <v>2584</v>
      </c>
      <c r="E3880" s="7" t="str">
        <f>"麦健 "</f>
        <v>麦健 </v>
      </c>
      <c r="F3880" s="7" t="str">
        <f t="shared" si="832"/>
        <v>男</v>
      </c>
      <c r="G3880" s="7" t="s">
        <v>3167</v>
      </c>
      <c r="H3880" s="8"/>
    </row>
    <row r="3881" ht="25" customHeight="1" spans="1:8">
      <c r="A3881" s="6">
        <v>3879</v>
      </c>
      <c r="B3881" s="7" t="str">
        <f t="shared" si="826"/>
        <v>309</v>
      </c>
      <c r="C3881" s="7" t="s">
        <v>3062</v>
      </c>
      <c r="D3881" s="7" t="s">
        <v>2584</v>
      </c>
      <c r="E3881" s="7" t="str">
        <f>"陈传韦"</f>
        <v>陈传韦</v>
      </c>
      <c r="F3881" s="7" t="str">
        <f t="shared" si="832"/>
        <v>男</v>
      </c>
      <c r="G3881" s="7" t="s">
        <v>3168</v>
      </c>
      <c r="H3881" s="8"/>
    </row>
    <row r="3882" ht="25" customHeight="1" spans="1:8">
      <c r="A3882" s="6">
        <v>3880</v>
      </c>
      <c r="B3882" s="7" t="str">
        <f t="shared" ref="B3882:B3910" si="833">"401"</f>
        <v>401</v>
      </c>
      <c r="C3882" s="7" t="s">
        <v>3169</v>
      </c>
      <c r="D3882" s="7" t="s">
        <v>3170</v>
      </c>
      <c r="E3882" s="7" t="str">
        <f>"詹元乾"</f>
        <v>詹元乾</v>
      </c>
      <c r="F3882" s="7" t="str">
        <f t="shared" ref="F3882:F3885" si="834">"女"</f>
        <v>女</v>
      </c>
      <c r="G3882" s="7" t="s">
        <v>1556</v>
      </c>
      <c r="H3882" s="8"/>
    </row>
    <row r="3883" ht="25" customHeight="1" spans="1:8">
      <c r="A3883" s="6">
        <v>3881</v>
      </c>
      <c r="B3883" s="7" t="str">
        <f t="shared" si="833"/>
        <v>401</v>
      </c>
      <c r="C3883" s="7" t="s">
        <v>3169</v>
      </c>
      <c r="D3883" s="7" t="s">
        <v>3170</v>
      </c>
      <c r="E3883" s="7" t="str">
        <f>"王佳"</f>
        <v>王佳</v>
      </c>
      <c r="F3883" s="7" t="str">
        <f t="shared" si="834"/>
        <v>女</v>
      </c>
      <c r="G3883" s="7" t="s">
        <v>12</v>
      </c>
      <c r="H3883" s="8"/>
    </row>
    <row r="3884" ht="25" customHeight="1" spans="1:8">
      <c r="A3884" s="6">
        <v>3882</v>
      </c>
      <c r="B3884" s="7" t="str">
        <f t="shared" si="833"/>
        <v>401</v>
      </c>
      <c r="C3884" s="7" t="s">
        <v>3169</v>
      </c>
      <c r="D3884" s="7" t="s">
        <v>3170</v>
      </c>
      <c r="E3884" s="7" t="str">
        <f>"黎贵荣"</f>
        <v>黎贵荣</v>
      </c>
      <c r="F3884" s="7" t="str">
        <f t="shared" ref="F3884:F3887" si="835">"男"</f>
        <v>男</v>
      </c>
      <c r="G3884" s="7" t="s">
        <v>3171</v>
      </c>
      <c r="H3884" s="8"/>
    </row>
    <row r="3885" ht="25" customHeight="1" spans="1:8">
      <c r="A3885" s="6">
        <v>3883</v>
      </c>
      <c r="B3885" s="7" t="str">
        <f t="shared" si="833"/>
        <v>401</v>
      </c>
      <c r="C3885" s="7" t="s">
        <v>3169</v>
      </c>
      <c r="D3885" s="7" t="s">
        <v>3170</v>
      </c>
      <c r="E3885" s="7" t="str">
        <f>"姚甜甜"</f>
        <v>姚甜甜</v>
      </c>
      <c r="F3885" s="7" t="str">
        <f t="shared" si="834"/>
        <v>女</v>
      </c>
      <c r="G3885" s="7" t="s">
        <v>709</v>
      </c>
      <c r="H3885" s="8"/>
    </row>
    <row r="3886" ht="25" customHeight="1" spans="1:8">
      <c r="A3886" s="6">
        <v>3884</v>
      </c>
      <c r="B3886" s="7" t="str">
        <f t="shared" si="833"/>
        <v>401</v>
      </c>
      <c r="C3886" s="7" t="s">
        <v>3169</v>
      </c>
      <c r="D3886" s="7" t="s">
        <v>3170</v>
      </c>
      <c r="E3886" s="7" t="str">
        <f>"邢日晖"</f>
        <v>邢日晖</v>
      </c>
      <c r="F3886" s="7" t="str">
        <f t="shared" si="835"/>
        <v>男</v>
      </c>
      <c r="G3886" s="7" t="s">
        <v>744</v>
      </c>
      <c r="H3886" s="8"/>
    </row>
    <row r="3887" ht="25" customHeight="1" spans="1:8">
      <c r="A3887" s="6">
        <v>3885</v>
      </c>
      <c r="B3887" s="7" t="str">
        <f t="shared" si="833"/>
        <v>401</v>
      </c>
      <c r="C3887" s="7" t="s">
        <v>3169</v>
      </c>
      <c r="D3887" s="7" t="s">
        <v>3170</v>
      </c>
      <c r="E3887" s="7" t="str">
        <f>"肖欢"</f>
        <v>肖欢</v>
      </c>
      <c r="F3887" s="7" t="str">
        <f t="shared" si="835"/>
        <v>男</v>
      </c>
      <c r="G3887" s="7" t="s">
        <v>3172</v>
      </c>
      <c r="H3887" s="8"/>
    </row>
    <row r="3888" ht="25" customHeight="1" spans="1:8">
      <c r="A3888" s="6">
        <v>3886</v>
      </c>
      <c r="B3888" s="7" t="str">
        <f t="shared" si="833"/>
        <v>401</v>
      </c>
      <c r="C3888" s="7" t="s">
        <v>3169</v>
      </c>
      <c r="D3888" s="7" t="s">
        <v>3170</v>
      </c>
      <c r="E3888" s="7" t="str">
        <f>"吴开悦"</f>
        <v>吴开悦</v>
      </c>
      <c r="F3888" s="7" t="str">
        <f t="shared" ref="F3888:F3896" si="836">"女"</f>
        <v>女</v>
      </c>
      <c r="G3888" s="7" t="s">
        <v>3173</v>
      </c>
      <c r="H3888" s="8"/>
    </row>
    <row r="3889" ht="25" customHeight="1" spans="1:8">
      <c r="A3889" s="6">
        <v>3887</v>
      </c>
      <c r="B3889" s="7" t="str">
        <f t="shared" si="833"/>
        <v>401</v>
      </c>
      <c r="C3889" s="7" t="s">
        <v>3169</v>
      </c>
      <c r="D3889" s="7" t="s">
        <v>3170</v>
      </c>
      <c r="E3889" s="7" t="str">
        <f>"符惠臻"</f>
        <v>符惠臻</v>
      </c>
      <c r="F3889" s="7" t="str">
        <f t="shared" si="836"/>
        <v>女</v>
      </c>
      <c r="G3889" s="7" t="s">
        <v>905</v>
      </c>
      <c r="H3889" s="8"/>
    </row>
    <row r="3890" ht="25" customHeight="1" spans="1:8">
      <c r="A3890" s="6">
        <v>3888</v>
      </c>
      <c r="B3890" s="7" t="str">
        <f t="shared" si="833"/>
        <v>401</v>
      </c>
      <c r="C3890" s="7" t="s">
        <v>3169</v>
      </c>
      <c r="D3890" s="7" t="s">
        <v>3170</v>
      </c>
      <c r="E3890" s="7" t="str">
        <f>"何开丰"</f>
        <v>何开丰</v>
      </c>
      <c r="F3890" s="7" t="str">
        <f>"男"</f>
        <v>男</v>
      </c>
      <c r="G3890" s="7" t="s">
        <v>3174</v>
      </c>
      <c r="H3890" s="8"/>
    </row>
    <row r="3891" ht="25" customHeight="1" spans="1:8">
      <c r="A3891" s="6">
        <v>3889</v>
      </c>
      <c r="B3891" s="7" t="str">
        <f t="shared" si="833"/>
        <v>401</v>
      </c>
      <c r="C3891" s="7" t="s">
        <v>3169</v>
      </c>
      <c r="D3891" s="7" t="s">
        <v>3170</v>
      </c>
      <c r="E3891" s="7" t="str">
        <f>"蒲天星"</f>
        <v>蒲天星</v>
      </c>
      <c r="F3891" s="7" t="str">
        <f t="shared" si="836"/>
        <v>女</v>
      </c>
      <c r="G3891" s="7" t="s">
        <v>3175</v>
      </c>
      <c r="H3891" s="8"/>
    </row>
    <row r="3892" ht="25" customHeight="1" spans="1:8">
      <c r="A3892" s="6">
        <v>3890</v>
      </c>
      <c r="B3892" s="7" t="str">
        <f t="shared" si="833"/>
        <v>401</v>
      </c>
      <c r="C3892" s="7" t="s">
        <v>3169</v>
      </c>
      <c r="D3892" s="7" t="s">
        <v>3170</v>
      </c>
      <c r="E3892" s="7" t="str">
        <f>"王娜"</f>
        <v>王娜</v>
      </c>
      <c r="F3892" s="7" t="str">
        <f t="shared" si="836"/>
        <v>女</v>
      </c>
      <c r="G3892" s="7" t="s">
        <v>3176</v>
      </c>
      <c r="H3892" s="8"/>
    </row>
    <row r="3893" ht="25" customHeight="1" spans="1:8">
      <c r="A3893" s="6">
        <v>3891</v>
      </c>
      <c r="B3893" s="7" t="str">
        <f t="shared" si="833"/>
        <v>401</v>
      </c>
      <c r="C3893" s="7" t="s">
        <v>3169</v>
      </c>
      <c r="D3893" s="7" t="s">
        <v>3170</v>
      </c>
      <c r="E3893" s="7" t="str">
        <f>"邢腾巧"</f>
        <v>邢腾巧</v>
      </c>
      <c r="F3893" s="7" t="str">
        <f t="shared" si="836"/>
        <v>女</v>
      </c>
      <c r="G3893" s="7" t="s">
        <v>2726</v>
      </c>
      <c r="H3893" s="8"/>
    </row>
    <row r="3894" ht="25" customHeight="1" spans="1:8">
      <c r="A3894" s="6">
        <v>3892</v>
      </c>
      <c r="B3894" s="7" t="str">
        <f t="shared" si="833"/>
        <v>401</v>
      </c>
      <c r="C3894" s="7" t="s">
        <v>3169</v>
      </c>
      <c r="D3894" s="7" t="s">
        <v>3170</v>
      </c>
      <c r="E3894" s="7" t="str">
        <f>"林珍如"</f>
        <v>林珍如</v>
      </c>
      <c r="F3894" s="7" t="str">
        <f t="shared" si="836"/>
        <v>女</v>
      </c>
      <c r="G3894" s="7" t="s">
        <v>1847</v>
      </c>
      <c r="H3894" s="8"/>
    </row>
    <row r="3895" ht="25" customHeight="1" spans="1:8">
      <c r="A3895" s="6">
        <v>3893</v>
      </c>
      <c r="B3895" s="7" t="str">
        <f t="shared" si="833"/>
        <v>401</v>
      </c>
      <c r="C3895" s="7" t="s">
        <v>3169</v>
      </c>
      <c r="D3895" s="7" t="s">
        <v>3170</v>
      </c>
      <c r="E3895" s="7" t="str">
        <f>"于佳"</f>
        <v>于佳</v>
      </c>
      <c r="F3895" s="7" t="str">
        <f t="shared" si="836"/>
        <v>女</v>
      </c>
      <c r="G3895" s="7" t="s">
        <v>3177</v>
      </c>
      <c r="H3895" s="8"/>
    </row>
    <row r="3896" ht="25" customHeight="1" spans="1:8">
      <c r="A3896" s="6">
        <v>3894</v>
      </c>
      <c r="B3896" s="7" t="str">
        <f t="shared" si="833"/>
        <v>401</v>
      </c>
      <c r="C3896" s="7" t="s">
        <v>3169</v>
      </c>
      <c r="D3896" s="7" t="s">
        <v>3170</v>
      </c>
      <c r="E3896" s="7" t="str">
        <f>"陈小钰"</f>
        <v>陈小钰</v>
      </c>
      <c r="F3896" s="7" t="str">
        <f t="shared" si="836"/>
        <v>女</v>
      </c>
      <c r="G3896" s="7" t="s">
        <v>1643</v>
      </c>
      <c r="H3896" s="8"/>
    </row>
    <row r="3897" ht="25" customHeight="1" spans="1:8">
      <c r="A3897" s="6">
        <v>3895</v>
      </c>
      <c r="B3897" s="7" t="str">
        <f t="shared" si="833"/>
        <v>401</v>
      </c>
      <c r="C3897" s="7" t="s">
        <v>3169</v>
      </c>
      <c r="D3897" s="7" t="s">
        <v>3170</v>
      </c>
      <c r="E3897" s="7" t="str">
        <f>"王鹤君"</f>
        <v>王鹤君</v>
      </c>
      <c r="F3897" s="7" t="str">
        <f>"男"</f>
        <v>男</v>
      </c>
      <c r="G3897" s="7" t="s">
        <v>3178</v>
      </c>
      <c r="H3897" s="8"/>
    </row>
    <row r="3898" ht="25" customHeight="1" spans="1:8">
      <c r="A3898" s="6">
        <v>3896</v>
      </c>
      <c r="B3898" s="7" t="str">
        <f t="shared" si="833"/>
        <v>401</v>
      </c>
      <c r="C3898" s="7" t="s">
        <v>3169</v>
      </c>
      <c r="D3898" s="7" t="s">
        <v>3170</v>
      </c>
      <c r="E3898" s="7" t="str">
        <f>"雷金瑞"</f>
        <v>雷金瑞</v>
      </c>
      <c r="F3898" s="7" t="str">
        <f t="shared" ref="F3898:F3903" si="837">"女"</f>
        <v>女</v>
      </c>
      <c r="G3898" s="7" t="s">
        <v>3179</v>
      </c>
      <c r="H3898" s="8"/>
    </row>
    <row r="3899" ht="25" customHeight="1" spans="1:8">
      <c r="A3899" s="6">
        <v>3897</v>
      </c>
      <c r="B3899" s="7" t="str">
        <f t="shared" si="833"/>
        <v>401</v>
      </c>
      <c r="C3899" s="7" t="s">
        <v>3169</v>
      </c>
      <c r="D3899" s="7" t="s">
        <v>3170</v>
      </c>
      <c r="E3899" s="7" t="str">
        <f>"刘宇昕"</f>
        <v>刘宇昕</v>
      </c>
      <c r="F3899" s="7" t="str">
        <f>"男"</f>
        <v>男</v>
      </c>
      <c r="G3899" s="7" t="s">
        <v>3180</v>
      </c>
      <c r="H3899" s="8"/>
    </row>
    <row r="3900" ht="25" customHeight="1" spans="1:8">
      <c r="A3900" s="6">
        <v>3898</v>
      </c>
      <c r="B3900" s="7" t="str">
        <f t="shared" si="833"/>
        <v>401</v>
      </c>
      <c r="C3900" s="7" t="s">
        <v>3169</v>
      </c>
      <c r="D3900" s="7" t="s">
        <v>3170</v>
      </c>
      <c r="E3900" s="7" t="str">
        <f>"吴小曼"</f>
        <v>吴小曼</v>
      </c>
      <c r="F3900" s="7" t="str">
        <f t="shared" si="837"/>
        <v>女</v>
      </c>
      <c r="G3900" s="7" t="s">
        <v>3181</v>
      </c>
      <c r="H3900" s="8"/>
    </row>
    <row r="3901" ht="25" customHeight="1" spans="1:8">
      <c r="A3901" s="6">
        <v>3899</v>
      </c>
      <c r="B3901" s="7" t="str">
        <f t="shared" si="833"/>
        <v>401</v>
      </c>
      <c r="C3901" s="7" t="s">
        <v>3169</v>
      </c>
      <c r="D3901" s="7" t="s">
        <v>3170</v>
      </c>
      <c r="E3901" s="7" t="str">
        <f>"卢悦"</f>
        <v>卢悦</v>
      </c>
      <c r="F3901" s="7" t="str">
        <f t="shared" si="837"/>
        <v>女</v>
      </c>
      <c r="G3901" s="7" t="s">
        <v>402</v>
      </c>
      <c r="H3901" s="8"/>
    </row>
    <row r="3902" ht="25" customHeight="1" spans="1:8">
      <c r="A3902" s="6">
        <v>3900</v>
      </c>
      <c r="B3902" s="7" t="str">
        <f t="shared" si="833"/>
        <v>401</v>
      </c>
      <c r="C3902" s="7" t="s">
        <v>3169</v>
      </c>
      <c r="D3902" s="7" t="s">
        <v>3170</v>
      </c>
      <c r="E3902" s="7" t="str">
        <f>"肖丽"</f>
        <v>肖丽</v>
      </c>
      <c r="F3902" s="7" t="str">
        <f t="shared" si="837"/>
        <v>女</v>
      </c>
      <c r="G3902" s="7" t="s">
        <v>1752</v>
      </c>
      <c r="H3902" s="8"/>
    </row>
    <row r="3903" ht="25" customHeight="1" spans="1:8">
      <c r="A3903" s="6">
        <v>3901</v>
      </c>
      <c r="B3903" s="7" t="str">
        <f t="shared" si="833"/>
        <v>401</v>
      </c>
      <c r="C3903" s="7" t="s">
        <v>3169</v>
      </c>
      <c r="D3903" s="7" t="s">
        <v>3170</v>
      </c>
      <c r="E3903" s="7" t="str">
        <f>"李青怡"</f>
        <v>李青怡</v>
      </c>
      <c r="F3903" s="7" t="str">
        <f t="shared" si="837"/>
        <v>女</v>
      </c>
      <c r="G3903" s="7" t="s">
        <v>3182</v>
      </c>
      <c r="H3903" s="8"/>
    </row>
    <row r="3904" ht="25" customHeight="1" spans="1:8">
      <c r="A3904" s="6">
        <v>3902</v>
      </c>
      <c r="B3904" s="7" t="str">
        <f t="shared" si="833"/>
        <v>401</v>
      </c>
      <c r="C3904" s="7" t="s">
        <v>3169</v>
      </c>
      <c r="D3904" s="7" t="s">
        <v>3170</v>
      </c>
      <c r="E3904" s="7" t="str">
        <f>"陈坤钰"</f>
        <v>陈坤钰</v>
      </c>
      <c r="F3904" s="7" t="str">
        <f>"男"</f>
        <v>男</v>
      </c>
      <c r="G3904" s="7" t="s">
        <v>2211</v>
      </c>
      <c r="H3904" s="8"/>
    </row>
    <row r="3905" ht="25" customHeight="1" spans="1:8">
      <c r="A3905" s="6">
        <v>3903</v>
      </c>
      <c r="B3905" s="7" t="str">
        <f t="shared" si="833"/>
        <v>401</v>
      </c>
      <c r="C3905" s="7" t="s">
        <v>3169</v>
      </c>
      <c r="D3905" s="7" t="s">
        <v>3170</v>
      </c>
      <c r="E3905" s="7" t="str">
        <f>"李世欣"</f>
        <v>李世欣</v>
      </c>
      <c r="F3905" s="7" t="str">
        <f t="shared" ref="F3905:F3907" si="838">"女"</f>
        <v>女</v>
      </c>
      <c r="G3905" s="7" t="s">
        <v>3183</v>
      </c>
      <c r="H3905" s="8"/>
    </row>
    <row r="3906" ht="25" customHeight="1" spans="1:8">
      <c r="A3906" s="6">
        <v>3904</v>
      </c>
      <c r="B3906" s="7" t="str">
        <f t="shared" si="833"/>
        <v>401</v>
      </c>
      <c r="C3906" s="7" t="s">
        <v>3169</v>
      </c>
      <c r="D3906" s="7" t="s">
        <v>3170</v>
      </c>
      <c r="E3906" s="7" t="str">
        <f>"王晶晶"</f>
        <v>王晶晶</v>
      </c>
      <c r="F3906" s="7" t="str">
        <f t="shared" si="838"/>
        <v>女</v>
      </c>
      <c r="G3906" s="7" t="s">
        <v>3184</v>
      </c>
      <c r="H3906" s="8"/>
    </row>
    <row r="3907" ht="25" customHeight="1" spans="1:8">
      <c r="A3907" s="6">
        <v>3905</v>
      </c>
      <c r="B3907" s="7" t="str">
        <f t="shared" si="833"/>
        <v>401</v>
      </c>
      <c r="C3907" s="7" t="s">
        <v>3169</v>
      </c>
      <c r="D3907" s="7" t="s">
        <v>3170</v>
      </c>
      <c r="E3907" s="7" t="str">
        <f>"吴海红"</f>
        <v>吴海红</v>
      </c>
      <c r="F3907" s="7" t="str">
        <f t="shared" si="838"/>
        <v>女</v>
      </c>
      <c r="G3907" s="7" t="s">
        <v>2540</v>
      </c>
      <c r="H3907" s="8"/>
    </row>
    <row r="3908" ht="25" customHeight="1" spans="1:8">
      <c r="A3908" s="6">
        <v>3906</v>
      </c>
      <c r="B3908" s="7" t="str">
        <f t="shared" si="833"/>
        <v>401</v>
      </c>
      <c r="C3908" s="7" t="s">
        <v>3169</v>
      </c>
      <c r="D3908" s="7" t="s">
        <v>3170</v>
      </c>
      <c r="E3908" s="7" t="str">
        <f>"孙国庆"</f>
        <v>孙国庆</v>
      </c>
      <c r="F3908" s="7" t="str">
        <f>"男"</f>
        <v>男</v>
      </c>
      <c r="G3908" s="7" t="s">
        <v>1863</v>
      </c>
      <c r="H3908" s="8"/>
    </row>
    <row r="3909" ht="25" customHeight="1" spans="1:8">
      <c r="A3909" s="6">
        <v>3907</v>
      </c>
      <c r="B3909" s="7" t="str">
        <f t="shared" si="833"/>
        <v>401</v>
      </c>
      <c r="C3909" s="7" t="s">
        <v>3169</v>
      </c>
      <c r="D3909" s="7" t="s">
        <v>3170</v>
      </c>
      <c r="E3909" s="7" t="str">
        <f>"黄婧"</f>
        <v>黄婧</v>
      </c>
      <c r="F3909" s="7" t="str">
        <f t="shared" ref="F3909:F3932" si="839">"女"</f>
        <v>女</v>
      </c>
      <c r="G3909" s="7" t="s">
        <v>3185</v>
      </c>
      <c r="H3909" s="8"/>
    </row>
    <row r="3910" ht="25" customHeight="1" spans="1:8">
      <c r="A3910" s="6">
        <v>3908</v>
      </c>
      <c r="B3910" s="7" t="str">
        <f t="shared" si="833"/>
        <v>401</v>
      </c>
      <c r="C3910" s="7" t="s">
        <v>3169</v>
      </c>
      <c r="D3910" s="7" t="s">
        <v>3170</v>
      </c>
      <c r="E3910" s="7" t="str">
        <f>"蔡鸿冰"</f>
        <v>蔡鸿冰</v>
      </c>
      <c r="F3910" s="7" t="str">
        <f t="shared" si="839"/>
        <v>女</v>
      </c>
      <c r="G3910" s="7" t="s">
        <v>172</v>
      </c>
      <c r="H3910" s="8"/>
    </row>
    <row r="3911" ht="25" customHeight="1" spans="1:8">
      <c r="A3911" s="6">
        <v>3909</v>
      </c>
      <c r="B3911" s="7" t="str">
        <f t="shared" ref="B3911:B3943" si="840">"501"</f>
        <v>501</v>
      </c>
      <c r="C3911" s="7" t="s">
        <v>3186</v>
      </c>
      <c r="D3911" s="7" t="s">
        <v>3187</v>
      </c>
      <c r="E3911" s="7" t="str">
        <f>"蔡文燕"</f>
        <v>蔡文燕</v>
      </c>
      <c r="F3911" s="7" t="str">
        <f t="shared" si="839"/>
        <v>女</v>
      </c>
      <c r="G3911" s="7" t="s">
        <v>3188</v>
      </c>
      <c r="H3911" s="8"/>
    </row>
    <row r="3912" ht="25" customHeight="1" spans="1:8">
      <c r="A3912" s="6">
        <v>3910</v>
      </c>
      <c r="B3912" s="7" t="str">
        <f t="shared" si="840"/>
        <v>501</v>
      </c>
      <c r="C3912" s="7" t="s">
        <v>3186</v>
      </c>
      <c r="D3912" s="7" t="s">
        <v>3187</v>
      </c>
      <c r="E3912" s="7" t="str">
        <f>"饶秋云"</f>
        <v>饶秋云</v>
      </c>
      <c r="F3912" s="7" t="str">
        <f t="shared" si="839"/>
        <v>女</v>
      </c>
      <c r="G3912" s="7" t="s">
        <v>3189</v>
      </c>
      <c r="H3912" s="8"/>
    </row>
    <row r="3913" ht="25" customHeight="1" spans="1:8">
      <c r="A3913" s="6">
        <v>3911</v>
      </c>
      <c r="B3913" s="7" t="str">
        <f t="shared" si="840"/>
        <v>501</v>
      </c>
      <c r="C3913" s="7" t="s">
        <v>3186</v>
      </c>
      <c r="D3913" s="7" t="s">
        <v>3187</v>
      </c>
      <c r="E3913" s="7" t="str">
        <f>"黎欣欣"</f>
        <v>黎欣欣</v>
      </c>
      <c r="F3913" s="7" t="str">
        <f t="shared" si="839"/>
        <v>女</v>
      </c>
      <c r="G3913" s="7" t="s">
        <v>3190</v>
      </c>
      <c r="H3913" s="8"/>
    </row>
    <row r="3914" ht="25" customHeight="1" spans="1:8">
      <c r="A3914" s="6">
        <v>3912</v>
      </c>
      <c r="B3914" s="7" t="str">
        <f t="shared" si="840"/>
        <v>501</v>
      </c>
      <c r="C3914" s="7" t="s">
        <v>3186</v>
      </c>
      <c r="D3914" s="7" t="s">
        <v>3187</v>
      </c>
      <c r="E3914" s="7" t="str">
        <f>"陈绍敏"</f>
        <v>陈绍敏</v>
      </c>
      <c r="F3914" s="7" t="str">
        <f t="shared" si="839"/>
        <v>女</v>
      </c>
      <c r="G3914" s="7" t="s">
        <v>3191</v>
      </c>
      <c r="H3914" s="8"/>
    </row>
    <row r="3915" ht="25" customHeight="1" spans="1:8">
      <c r="A3915" s="6">
        <v>3913</v>
      </c>
      <c r="B3915" s="7" t="str">
        <f t="shared" si="840"/>
        <v>501</v>
      </c>
      <c r="C3915" s="7" t="s">
        <v>3186</v>
      </c>
      <c r="D3915" s="7" t="s">
        <v>3187</v>
      </c>
      <c r="E3915" s="7" t="str">
        <f>"曾子倩"</f>
        <v>曾子倩</v>
      </c>
      <c r="F3915" s="7" t="str">
        <f t="shared" si="839"/>
        <v>女</v>
      </c>
      <c r="G3915" s="7" t="s">
        <v>3192</v>
      </c>
      <c r="H3915" s="8"/>
    </row>
    <row r="3916" ht="25" customHeight="1" spans="1:8">
      <c r="A3916" s="6">
        <v>3914</v>
      </c>
      <c r="B3916" s="7" t="str">
        <f t="shared" si="840"/>
        <v>501</v>
      </c>
      <c r="C3916" s="7" t="s">
        <v>3186</v>
      </c>
      <c r="D3916" s="7" t="s">
        <v>3187</v>
      </c>
      <c r="E3916" s="7" t="str">
        <f>"温佳炜"</f>
        <v>温佳炜</v>
      </c>
      <c r="F3916" s="7" t="str">
        <f t="shared" si="839"/>
        <v>女</v>
      </c>
      <c r="G3916" s="7" t="s">
        <v>3193</v>
      </c>
      <c r="H3916" s="8"/>
    </row>
    <row r="3917" ht="25" customHeight="1" spans="1:8">
      <c r="A3917" s="6">
        <v>3915</v>
      </c>
      <c r="B3917" s="7" t="str">
        <f t="shared" si="840"/>
        <v>501</v>
      </c>
      <c r="C3917" s="7" t="s">
        <v>3186</v>
      </c>
      <c r="D3917" s="7" t="s">
        <v>3187</v>
      </c>
      <c r="E3917" s="7" t="str">
        <f>"刘莹"</f>
        <v>刘莹</v>
      </c>
      <c r="F3917" s="7" t="str">
        <f t="shared" si="839"/>
        <v>女</v>
      </c>
      <c r="G3917" s="7" t="s">
        <v>3194</v>
      </c>
      <c r="H3917" s="8"/>
    </row>
    <row r="3918" ht="25" customHeight="1" spans="1:8">
      <c r="A3918" s="6">
        <v>3916</v>
      </c>
      <c r="B3918" s="7" t="str">
        <f t="shared" si="840"/>
        <v>501</v>
      </c>
      <c r="C3918" s="7" t="s">
        <v>3186</v>
      </c>
      <c r="D3918" s="7" t="s">
        <v>3187</v>
      </c>
      <c r="E3918" s="7" t="str">
        <f>"易蕾"</f>
        <v>易蕾</v>
      </c>
      <c r="F3918" s="7" t="str">
        <f t="shared" si="839"/>
        <v>女</v>
      </c>
      <c r="G3918" s="7" t="s">
        <v>3195</v>
      </c>
      <c r="H3918" s="8"/>
    </row>
    <row r="3919" ht="25" customHeight="1" spans="1:8">
      <c r="A3919" s="6">
        <v>3917</v>
      </c>
      <c r="B3919" s="7" t="str">
        <f t="shared" si="840"/>
        <v>501</v>
      </c>
      <c r="C3919" s="7" t="s">
        <v>3186</v>
      </c>
      <c r="D3919" s="7" t="s">
        <v>3187</v>
      </c>
      <c r="E3919" s="7" t="str">
        <f>"李晓"</f>
        <v>李晓</v>
      </c>
      <c r="F3919" s="7" t="str">
        <f t="shared" si="839"/>
        <v>女</v>
      </c>
      <c r="G3919" s="7" t="s">
        <v>3196</v>
      </c>
      <c r="H3919" s="8"/>
    </row>
    <row r="3920" ht="25" customHeight="1" spans="1:8">
      <c r="A3920" s="6">
        <v>3918</v>
      </c>
      <c r="B3920" s="7" t="str">
        <f t="shared" si="840"/>
        <v>501</v>
      </c>
      <c r="C3920" s="7" t="s">
        <v>3186</v>
      </c>
      <c r="D3920" s="7" t="s">
        <v>3187</v>
      </c>
      <c r="E3920" s="7" t="str">
        <f>"刘媚红"</f>
        <v>刘媚红</v>
      </c>
      <c r="F3920" s="7" t="str">
        <f t="shared" si="839"/>
        <v>女</v>
      </c>
      <c r="G3920" s="7" t="s">
        <v>471</v>
      </c>
      <c r="H3920" s="8"/>
    </row>
    <row r="3921" ht="25" customHeight="1" spans="1:8">
      <c r="A3921" s="6">
        <v>3919</v>
      </c>
      <c r="B3921" s="7" t="str">
        <f t="shared" si="840"/>
        <v>501</v>
      </c>
      <c r="C3921" s="7" t="s">
        <v>3186</v>
      </c>
      <c r="D3921" s="7" t="s">
        <v>3187</v>
      </c>
      <c r="E3921" s="7" t="str">
        <f>"韦俊婕"</f>
        <v>韦俊婕</v>
      </c>
      <c r="F3921" s="7" t="str">
        <f t="shared" si="839"/>
        <v>女</v>
      </c>
      <c r="G3921" s="7" t="s">
        <v>684</v>
      </c>
      <c r="H3921" s="8"/>
    </row>
    <row r="3922" ht="25" customHeight="1" spans="1:8">
      <c r="A3922" s="6">
        <v>3920</v>
      </c>
      <c r="B3922" s="7" t="str">
        <f t="shared" si="840"/>
        <v>501</v>
      </c>
      <c r="C3922" s="7" t="s">
        <v>3186</v>
      </c>
      <c r="D3922" s="7" t="s">
        <v>3187</v>
      </c>
      <c r="E3922" s="7" t="str">
        <f>"孙爱雪"</f>
        <v>孙爱雪</v>
      </c>
      <c r="F3922" s="7" t="str">
        <f t="shared" si="839"/>
        <v>女</v>
      </c>
      <c r="G3922" s="7" t="s">
        <v>3095</v>
      </c>
      <c r="H3922" s="8"/>
    </row>
    <row r="3923" ht="25" customHeight="1" spans="1:8">
      <c r="A3923" s="6">
        <v>3921</v>
      </c>
      <c r="B3923" s="7" t="str">
        <f t="shared" si="840"/>
        <v>501</v>
      </c>
      <c r="C3923" s="7" t="s">
        <v>3186</v>
      </c>
      <c r="D3923" s="7" t="s">
        <v>3187</v>
      </c>
      <c r="E3923" s="7" t="str">
        <f>"肖彩云"</f>
        <v>肖彩云</v>
      </c>
      <c r="F3923" s="7" t="str">
        <f t="shared" si="839"/>
        <v>女</v>
      </c>
      <c r="G3923" s="7" t="s">
        <v>1418</v>
      </c>
      <c r="H3923" s="8"/>
    </row>
    <row r="3924" ht="25" customHeight="1" spans="1:8">
      <c r="A3924" s="6">
        <v>3922</v>
      </c>
      <c r="B3924" s="7" t="str">
        <f t="shared" si="840"/>
        <v>501</v>
      </c>
      <c r="C3924" s="7" t="s">
        <v>3186</v>
      </c>
      <c r="D3924" s="7" t="s">
        <v>3187</v>
      </c>
      <c r="E3924" s="7" t="str">
        <f>"黎玲莉"</f>
        <v>黎玲莉</v>
      </c>
      <c r="F3924" s="7" t="str">
        <f t="shared" si="839"/>
        <v>女</v>
      </c>
      <c r="G3924" s="7" t="s">
        <v>3197</v>
      </c>
      <c r="H3924" s="8"/>
    </row>
    <row r="3925" ht="25" customHeight="1" spans="1:8">
      <c r="A3925" s="6">
        <v>3923</v>
      </c>
      <c r="B3925" s="7" t="str">
        <f t="shared" si="840"/>
        <v>501</v>
      </c>
      <c r="C3925" s="7" t="s">
        <v>3186</v>
      </c>
      <c r="D3925" s="7" t="s">
        <v>3187</v>
      </c>
      <c r="E3925" s="7" t="str">
        <f>"李永娥"</f>
        <v>李永娥</v>
      </c>
      <c r="F3925" s="7" t="str">
        <f t="shared" si="839"/>
        <v>女</v>
      </c>
      <c r="G3925" s="7" t="s">
        <v>3198</v>
      </c>
      <c r="H3925" s="8"/>
    </row>
    <row r="3926" ht="25" customHeight="1" spans="1:8">
      <c r="A3926" s="6">
        <v>3924</v>
      </c>
      <c r="B3926" s="7" t="str">
        <f t="shared" si="840"/>
        <v>501</v>
      </c>
      <c r="C3926" s="7" t="s">
        <v>3186</v>
      </c>
      <c r="D3926" s="7" t="s">
        <v>3187</v>
      </c>
      <c r="E3926" s="7" t="str">
        <f>"王月"</f>
        <v>王月</v>
      </c>
      <c r="F3926" s="7" t="str">
        <f t="shared" si="839"/>
        <v>女</v>
      </c>
      <c r="G3926" s="7" t="s">
        <v>3199</v>
      </c>
      <c r="H3926" s="8"/>
    </row>
    <row r="3927" ht="25" customHeight="1" spans="1:8">
      <c r="A3927" s="6">
        <v>3925</v>
      </c>
      <c r="B3927" s="7" t="str">
        <f t="shared" si="840"/>
        <v>501</v>
      </c>
      <c r="C3927" s="7" t="s">
        <v>3186</v>
      </c>
      <c r="D3927" s="7" t="s">
        <v>3187</v>
      </c>
      <c r="E3927" s="7" t="str">
        <f>"杨光秀"</f>
        <v>杨光秀</v>
      </c>
      <c r="F3927" s="7" t="str">
        <f t="shared" si="839"/>
        <v>女</v>
      </c>
      <c r="G3927" s="7" t="s">
        <v>3200</v>
      </c>
      <c r="H3927" s="8"/>
    </row>
    <row r="3928" ht="25" customHeight="1" spans="1:8">
      <c r="A3928" s="6">
        <v>3926</v>
      </c>
      <c r="B3928" s="7" t="str">
        <f t="shared" si="840"/>
        <v>501</v>
      </c>
      <c r="C3928" s="7" t="s">
        <v>3186</v>
      </c>
      <c r="D3928" s="7" t="s">
        <v>3187</v>
      </c>
      <c r="E3928" s="7" t="str">
        <f>"符雨薇"</f>
        <v>符雨薇</v>
      </c>
      <c r="F3928" s="7" t="str">
        <f t="shared" si="839"/>
        <v>女</v>
      </c>
      <c r="G3928" s="7" t="s">
        <v>687</v>
      </c>
      <c r="H3928" s="8"/>
    </row>
    <row r="3929" ht="25" customHeight="1" spans="1:8">
      <c r="A3929" s="6">
        <v>3927</v>
      </c>
      <c r="B3929" s="7" t="str">
        <f t="shared" si="840"/>
        <v>501</v>
      </c>
      <c r="C3929" s="7" t="s">
        <v>3186</v>
      </c>
      <c r="D3929" s="7" t="s">
        <v>3187</v>
      </c>
      <c r="E3929" s="7" t="str">
        <f>"吴春燕"</f>
        <v>吴春燕</v>
      </c>
      <c r="F3929" s="7" t="str">
        <f t="shared" si="839"/>
        <v>女</v>
      </c>
      <c r="G3929" s="7" t="s">
        <v>3201</v>
      </c>
      <c r="H3929" s="8"/>
    </row>
    <row r="3930" ht="25" customHeight="1" spans="1:8">
      <c r="A3930" s="6">
        <v>3928</v>
      </c>
      <c r="B3930" s="7" t="str">
        <f t="shared" si="840"/>
        <v>501</v>
      </c>
      <c r="C3930" s="7" t="s">
        <v>3186</v>
      </c>
      <c r="D3930" s="7" t="s">
        <v>3187</v>
      </c>
      <c r="E3930" s="7" t="str">
        <f>"迟爱杨"</f>
        <v>迟爱杨</v>
      </c>
      <c r="F3930" s="7" t="str">
        <f t="shared" si="839"/>
        <v>女</v>
      </c>
      <c r="G3930" s="7" t="s">
        <v>3202</v>
      </c>
      <c r="H3930" s="8"/>
    </row>
    <row r="3931" ht="25" customHeight="1" spans="1:8">
      <c r="A3931" s="6">
        <v>3929</v>
      </c>
      <c r="B3931" s="7" t="str">
        <f t="shared" si="840"/>
        <v>501</v>
      </c>
      <c r="C3931" s="7" t="s">
        <v>3186</v>
      </c>
      <c r="D3931" s="7" t="s">
        <v>3187</v>
      </c>
      <c r="E3931" s="7" t="str">
        <f>"符如贷"</f>
        <v>符如贷</v>
      </c>
      <c r="F3931" s="7" t="str">
        <f t="shared" si="839"/>
        <v>女</v>
      </c>
      <c r="G3931" s="7" t="s">
        <v>3203</v>
      </c>
      <c r="H3931" s="8"/>
    </row>
    <row r="3932" ht="25" customHeight="1" spans="1:8">
      <c r="A3932" s="6">
        <v>3930</v>
      </c>
      <c r="B3932" s="7" t="str">
        <f t="shared" si="840"/>
        <v>501</v>
      </c>
      <c r="C3932" s="7" t="s">
        <v>3186</v>
      </c>
      <c r="D3932" s="7" t="s">
        <v>3187</v>
      </c>
      <c r="E3932" s="7" t="str">
        <f>"符颖"</f>
        <v>符颖</v>
      </c>
      <c r="F3932" s="7" t="str">
        <f t="shared" si="839"/>
        <v>女</v>
      </c>
      <c r="G3932" s="7" t="s">
        <v>3204</v>
      </c>
      <c r="H3932" s="8"/>
    </row>
    <row r="3933" ht="25" customHeight="1" spans="1:8">
      <c r="A3933" s="6">
        <v>3931</v>
      </c>
      <c r="B3933" s="7" t="str">
        <f t="shared" si="840"/>
        <v>501</v>
      </c>
      <c r="C3933" s="7" t="s">
        <v>3186</v>
      </c>
      <c r="D3933" s="7" t="s">
        <v>3187</v>
      </c>
      <c r="E3933" s="7" t="str">
        <f>"陈元冲"</f>
        <v>陈元冲</v>
      </c>
      <c r="F3933" s="7" t="str">
        <f>"男"</f>
        <v>男</v>
      </c>
      <c r="G3933" s="7" t="s">
        <v>3205</v>
      </c>
      <c r="H3933" s="8"/>
    </row>
    <row r="3934" ht="25" customHeight="1" spans="1:8">
      <c r="A3934" s="6">
        <v>3932</v>
      </c>
      <c r="B3934" s="7" t="str">
        <f t="shared" si="840"/>
        <v>501</v>
      </c>
      <c r="C3934" s="7" t="s">
        <v>3186</v>
      </c>
      <c r="D3934" s="7" t="s">
        <v>3187</v>
      </c>
      <c r="E3934" s="7" t="str">
        <f>"唐楼梅"</f>
        <v>唐楼梅</v>
      </c>
      <c r="F3934" s="7" t="str">
        <f t="shared" ref="F3934:F3943" si="841">"女"</f>
        <v>女</v>
      </c>
      <c r="G3934" s="7" t="s">
        <v>383</v>
      </c>
      <c r="H3934" s="8"/>
    </row>
    <row r="3935" ht="25" customHeight="1" spans="1:8">
      <c r="A3935" s="6">
        <v>3933</v>
      </c>
      <c r="B3935" s="7" t="str">
        <f t="shared" si="840"/>
        <v>501</v>
      </c>
      <c r="C3935" s="7" t="s">
        <v>3186</v>
      </c>
      <c r="D3935" s="7" t="s">
        <v>3187</v>
      </c>
      <c r="E3935" s="7" t="str">
        <f>"王晓慧"</f>
        <v>王晓慧</v>
      </c>
      <c r="F3935" s="7" t="str">
        <f t="shared" si="841"/>
        <v>女</v>
      </c>
      <c r="G3935" s="7" t="s">
        <v>798</v>
      </c>
      <c r="H3935" s="8"/>
    </row>
    <row r="3936" ht="25" customHeight="1" spans="1:8">
      <c r="A3936" s="6">
        <v>3934</v>
      </c>
      <c r="B3936" s="7" t="str">
        <f t="shared" si="840"/>
        <v>501</v>
      </c>
      <c r="C3936" s="7" t="s">
        <v>3186</v>
      </c>
      <c r="D3936" s="7" t="s">
        <v>3187</v>
      </c>
      <c r="E3936" s="7" t="str">
        <f>"赵家靖"</f>
        <v>赵家靖</v>
      </c>
      <c r="F3936" s="7" t="str">
        <f t="shared" si="841"/>
        <v>女</v>
      </c>
      <c r="G3936" s="7" t="s">
        <v>2717</v>
      </c>
      <c r="H3936" s="8"/>
    </row>
    <row r="3937" ht="25" customHeight="1" spans="1:8">
      <c r="A3937" s="6">
        <v>3935</v>
      </c>
      <c r="B3937" s="7" t="str">
        <f t="shared" si="840"/>
        <v>501</v>
      </c>
      <c r="C3937" s="7" t="s">
        <v>3186</v>
      </c>
      <c r="D3937" s="7" t="s">
        <v>3187</v>
      </c>
      <c r="E3937" s="7" t="str">
        <f>"张天琪"</f>
        <v>张天琪</v>
      </c>
      <c r="F3937" s="7" t="str">
        <f t="shared" si="841"/>
        <v>女</v>
      </c>
      <c r="G3937" s="7" t="s">
        <v>304</v>
      </c>
      <c r="H3937" s="8"/>
    </row>
    <row r="3938" ht="25" customHeight="1" spans="1:8">
      <c r="A3938" s="6">
        <v>3936</v>
      </c>
      <c r="B3938" s="7" t="str">
        <f t="shared" si="840"/>
        <v>501</v>
      </c>
      <c r="C3938" s="7" t="s">
        <v>3186</v>
      </c>
      <c r="D3938" s="7" t="s">
        <v>3187</v>
      </c>
      <c r="E3938" s="7" t="str">
        <f>"王玲霞"</f>
        <v>王玲霞</v>
      </c>
      <c r="F3938" s="7" t="str">
        <f t="shared" si="841"/>
        <v>女</v>
      </c>
      <c r="G3938" s="7" t="s">
        <v>2989</v>
      </c>
      <c r="H3938" s="8"/>
    </row>
    <row r="3939" ht="25" customHeight="1" spans="1:8">
      <c r="A3939" s="6">
        <v>3937</v>
      </c>
      <c r="B3939" s="7" t="str">
        <f t="shared" si="840"/>
        <v>501</v>
      </c>
      <c r="C3939" s="7" t="s">
        <v>3186</v>
      </c>
      <c r="D3939" s="7" t="s">
        <v>3187</v>
      </c>
      <c r="E3939" s="7" t="str">
        <f>"邢叶霜"</f>
        <v>邢叶霜</v>
      </c>
      <c r="F3939" s="7" t="str">
        <f t="shared" si="841"/>
        <v>女</v>
      </c>
      <c r="G3939" s="7" t="s">
        <v>3206</v>
      </c>
      <c r="H3939" s="8"/>
    </row>
    <row r="3940" ht="25" customHeight="1" spans="1:8">
      <c r="A3940" s="6">
        <v>3938</v>
      </c>
      <c r="B3940" s="7" t="str">
        <f t="shared" si="840"/>
        <v>501</v>
      </c>
      <c r="C3940" s="7" t="s">
        <v>3186</v>
      </c>
      <c r="D3940" s="7" t="s">
        <v>3187</v>
      </c>
      <c r="E3940" s="7" t="str">
        <f>"欧祖浪"</f>
        <v>欧祖浪</v>
      </c>
      <c r="F3940" s="7" t="str">
        <f t="shared" si="841"/>
        <v>女</v>
      </c>
      <c r="G3940" s="7" t="s">
        <v>3207</v>
      </c>
      <c r="H3940" s="8"/>
    </row>
    <row r="3941" ht="25" customHeight="1" spans="1:8">
      <c r="A3941" s="6">
        <v>3939</v>
      </c>
      <c r="B3941" s="7" t="str">
        <f t="shared" si="840"/>
        <v>501</v>
      </c>
      <c r="C3941" s="7" t="s">
        <v>3186</v>
      </c>
      <c r="D3941" s="7" t="s">
        <v>3187</v>
      </c>
      <c r="E3941" s="7" t="str">
        <f>"邓锐芳"</f>
        <v>邓锐芳</v>
      </c>
      <c r="F3941" s="7" t="str">
        <f t="shared" si="841"/>
        <v>女</v>
      </c>
      <c r="G3941" s="7" t="s">
        <v>3208</v>
      </c>
      <c r="H3941" s="8"/>
    </row>
    <row r="3942" ht="25" customHeight="1" spans="1:8">
      <c r="A3942" s="6">
        <v>3940</v>
      </c>
      <c r="B3942" s="7" t="str">
        <f t="shared" si="840"/>
        <v>501</v>
      </c>
      <c r="C3942" s="7" t="s">
        <v>3186</v>
      </c>
      <c r="D3942" s="7" t="s">
        <v>3187</v>
      </c>
      <c r="E3942" s="7" t="str">
        <f>"王子莹"</f>
        <v>王子莹</v>
      </c>
      <c r="F3942" s="7" t="str">
        <f t="shared" si="841"/>
        <v>女</v>
      </c>
      <c r="G3942" s="7" t="s">
        <v>3209</v>
      </c>
      <c r="H3942" s="8"/>
    </row>
    <row r="3943" ht="25" customHeight="1" spans="1:8">
      <c r="A3943" s="6">
        <v>3941</v>
      </c>
      <c r="B3943" s="7" t="str">
        <f t="shared" si="840"/>
        <v>501</v>
      </c>
      <c r="C3943" s="7" t="s">
        <v>3186</v>
      </c>
      <c r="D3943" s="7" t="s">
        <v>3187</v>
      </c>
      <c r="E3943" s="7" t="str">
        <f>"符晓茹"</f>
        <v>符晓茹</v>
      </c>
      <c r="F3943" s="7" t="str">
        <f t="shared" si="841"/>
        <v>女</v>
      </c>
      <c r="G3943" s="7" t="s">
        <v>3210</v>
      </c>
      <c r="H3943" s="8"/>
    </row>
    <row r="3944" ht="25" customHeight="1" spans="1:8">
      <c r="A3944" s="6">
        <v>3942</v>
      </c>
      <c r="B3944" s="7" t="str">
        <f t="shared" ref="B3944:B4002" si="842">"502"</f>
        <v>502</v>
      </c>
      <c r="C3944" s="7" t="s">
        <v>3211</v>
      </c>
      <c r="D3944" s="7" t="s">
        <v>3187</v>
      </c>
      <c r="E3944" s="7" t="str">
        <f>"李亚翔"</f>
        <v>李亚翔</v>
      </c>
      <c r="F3944" s="7" t="str">
        <f t="shared" ref="F3944:F3947" si="843">"男"</f>
        <v>男</v>
      </c>
      <c r="G3944" s="7" t="s">
        <v>3212</v>
      </c>
      <c r="H3944" s="8"/>
    </row>
    <row r="3945" ht="25" customHeight="1" spans="1:8">
      <c r="A3945" s="6">
        <v>3943</v>
      </c>
      <c r="B3945" s="7" t="str">
        <f t="shared" si="842"/>
        <v>502</v>
      </c>
      <c r="C3945" s="7" t="s">
        <v>3211</v>
      </c>
      <c r="D3945" s="7" t="s">
        <v>3187</v>
      </c>
      <c r="E3945" s="7" t="str">
        <f>"黄亚宾"</f>
        <v>黄亚宾</v>
      </c>
      <c r="F3945" s="7" t="str">
        <f t="shared" si="843"/>
        <v>男</v>
      </c>
      <c r="G3945" s="7" t="s">
        <v>2851</v>
      </c>
      <c r="H3945" s="8"/>
    </row>
    <row r="3946" ht="25" customHeight="1" spans="1:8">
      <c r="A3946" s="6">
        <v>3944</v>
      </c>
      <c r="B3946" s="7" t="str">
        <f t="shared" si="842"/>
        <v>502</v>
      </c>
      <c r="C3946" s="7" t="s">
        <v>3211</v>
      </c>
      <c r="D3946" s="7" t="s">
        <v>3187</v>
      </c>
      <c r="E3946" s="7" t="str">
        <f>"简保寿"</f>
        <v>简保寿</v>
      </c>
      <c r="F3946" s="7" t="str">
        <f t="shared" si="843"/>
        <v>男</v>
      </c>
      <c r="G3946" s="7" t="s">
        <v>3213</v>
      </c>
      <c r="H3946" s="8"/>
    </row>
    <row r="3947" ht="25" customHeight="1" spans="1:8">
      <c r="A3947" s="6">
        <v>3945</v>
      </c>
      <c r="B3947" s="7" t="str">
        <f t="shared" si="842"/>
        <v>502</v>
      </c>
      <c r="C3947" s="7" t="s">
        <v>3211</v>
      </c>
      <c r="D3947" s="7" t="s">
        <v>3187</v>
      </c>
      <c r="E3947" s="7" t="str">
        <f>"何宗程"</f>
        <v>何宗程</v>
      </c>
      <c r="F3947" s="7" t="str">
        <f t="shared" si="843"/>
        <v>男</v>
      </c>
      <c r="G3947" s="7" t="s">
        <v>3214</v>
      </c>
      <c r="H3947" s="8"/>
    </row>
    <row r="3948" ht="25" customHeight="1" spans="1:8">
      <c r="A3948" s="6">
        <v>3946</v>
      </c>
      <c r="B3948" s="7" t="str">
        <f t="shared" si="842"/>
        <v>502</v>
      </c>
      <c r="C3948" s="7" t="s">
        <v>3211</v>
      </c>
      <c r="D3948" s="7" t="s">
        <v>3187</v>
      </c>
      <c r="E3948" s="7" t="str">
        <f>"李亚芳"</f>
        <v>李亚芳</v>
      </c>
      <c r="F3948" s="7" t="str">
        <f>"女"</f>
        <v>女</v>
      </c>
      <c r="G3948" s="7" t="s">
        <v>3215</v>
      </c>
      <c r="H3948" s="8"/>
    </row>
    <row r="3949" ht="25" customHeight="1" spans="1:8">
      <c r="A3949" s="6">
        <v>3947</v>
      </c>
      <c r="B3949" s="7" t="str">
        <f t="shared" si="842"/>
        <v>502</v>
      </c>
      <c r="C3949" s="7" t="s">
        <v>3211</v>
      </c>
      <c r="D3949" s="7" t="s">
        <v>3187</v>
      </c>
      <c r="E3949" s="7" t="str">
        <f>"邢艺"</f>
        <v>邢艺</v>
      </c>
      <c r="F3949" s="7" t="str">
        <f t="shared" ref="F3949:F3957" si="844">"男"</f>
        <v>男</v>
      </c>
      <c r="G3949" s="7" t="s">
        <v>1060</v>
      </c>
      <c r="H3949" s="8"/>
    </row>
    <row r="3950" ht="25" customHeight="1" spans="1:8">
      <c r="A3950" s="6">
        <v>3948</v>
      </c>
      <c r="B3950" s="7" t="str">
        <f t="shared" si="842"/>
        <v>502</v>
      </c>
      <c r="C3950" s="7" t="s">
        <v>3211</v>
      </c>
      <c r="D3950" s="7" t="s">
        <v>3187</v>
      </c>
      <c r="E3950" s="7" t="str">
        <f>"王兴基"</f>
        <v>王兴基</v>
      </c>
      <c r="F3950" s="7" t="str">
        <f t="shared" si="844"/>
        <v>男</v>
      </c>
      <c r="G3950" s="7" t="s">
        <v>3216</v>
      </c>
      <c r="H3950" s="8"/>
    </row>
    <row r="3951" ht="25" customHeight="1" spans="1:8">
      <c r="A3951" s="6">
        <v>3949</v>
      </c>
      <c r="B3951" s="7" t="str">
        <f t="shared" si="842"/>
        <v>502</v>
      </c>
      <c r="C3951" s="7" t="s">
        <v>3211</v>
      </c>
      <c r="D3951" s="7" t="s">
        <v>3187</v>
      </c>
      <c r="E3951" s="7" t="str">
        <f>"胥浩"</f>
        <v>胥浩</v>
      </c>
      <c r="F3951" s="7" t="str">
        <f t="shared" si="844"/>
        <v>男</v>
      </c>
      <c r="G3951" s="7" t="s">
        <v>3217</v>
      </c>
      <c r="H3951" s="8"/>
    </row>
    <row r="3952" ht="25" customHeight="1" spans="1:8">
      <c r="A3952" s="6">
        <v>3950</v>
      </c>
      <c r="B3952" s="7" t="str">
        <f t="shared" si="842"/>
        <v>502</v>
      </c>
      <c r="C3952" s="7" t="s">
        <v>3211</v>
      </c>
      <c r="D3952" s="7" t="s">
        <v>3187</v>
      </c>
      <c r="E3952" s="7" t="str">
        <f>"马宇杰"</f>
        <v>马宇杰</v>
      </c>
      <c r="F3952" s="7" t="str">
        <f t="shared" si="844"/>
        <v>男</v>
      </c>
      <c r="G3952" s="7" t="s">
        <v>3218</v>
      </c>
      <c r="H3952" s="8"/>
    </row>
    <row r="3953" ht="25" customHeight="1" spans="1:8">
      <c r="A3953" s="6">
        <v>3951</v>
      </c>
      <c r="B3953" s="7" t="str">
        <f t="shared" si="842"/>
        <v>502</v>
      </c>
      <c r="C3953" s="7" t="s">
        <v>3211</v>
      </c>
      <c r="D3953" s="7" t="s">
        <v>3187</v>
      </c>
      <c r="E3953" s="7" t="str">
        <f>"李星汉"</f>
        <v>李星汉</v>
      </c>
      <c r="F3953" s="7" t="str">
        <f t="shared" si="844"/>
        <v>男</v>
      </c>
      <c r="G3953" s="7" t="s">
        <v>3219</v>
      </c>
      <c r="H3953" s="8"/>
    </row>
    <row r="3954" ht="25" customHeight="1" spans="1:8">
      <c r="A3954" s="6">
        <v>3952</v>
      </c>
      <c r="B3954" s="7" t="str">
        <f t="shared" si="842"/>
        <v>502</v>
      </c>
      <c r="C3954" s="7" t="s">
        <v>3211</v>
      </c>
      <c r="D3954" s="7" t="s">
        <v>3187</v>
      </c>
      <c r="E3954" s="7" t="str">
        <f>"贺修想"</f>
        <v>贺修想</v>
      </c>
      <c r="F3954" s="7" t="str">
        <f t="shared" si="844"/>
        <v>男</v>
      </c>
      <c r="G3954" s="7" t="s">
        <v>3220</v>
      </c>
      <c r="H3954" s="8"/>
    </row>
    <row r="3955" ht="25" customHeight="1" spans="1:8">
      <c r="A3955" s="6">
        <v>3953</v>
      </c>
      <c r="B3955" s="7" t="str">
        <f t="shared" si="842"/>
        <v>502</v>
      </c>
      <c r="C3955" s="7" t="s">
        <v>3211</v>
      </c>
      <c r="D3955" s="7" t="s">
        <v>3187</v>
      </c>
      <c r="E3955" s="7" t="str">
        <f>"蒲春伟"</f>
        <v>蒲春伟</v>
      </c>
      <c r="F3955" s="7" t="str">
        <f t="shared" si="844"/>
        <v>男</v>
      </c>
      <c r="G3955" s="7" t="s">
        <v>1783</v>
      </c>
      <c r="H3955" s="8"/>
    </row>
    <row r="3956" ht="25" customHeight="1" spans="1:8">
      <c r="A3956" s="6">
        <v>3954</v>
      </c>
      <c r="B3956" s="7" t="str">
        <f t="shared" si="842"/>
        <v>502</v>
      </c>
      <c r="C3956" s="7" t="s">
        <v>3211</v>
      </c>
      <c r="D3956" s="7" t="s">
        <v>3187</v>
      </c>
      <c r="E3956" s="7" t="str">
        <f>"王祖康"</f>
        <v>王祖康</v>
      </c>
      <c r="F3956" s="7" t="str">
        <f t="shared" si="844"/>
        <v>男</v>
      </c>
      <c r="G3956" s="7" t="s">
        <v>3221</v>
      </c>
      <c r="H3956" s="8"/>
    </row>
    <row r="3957" ht="25" customHeight="1" spans="1:8">
      <c r="A3957" s="6">
        <v>3955</v>
      </c>
      <c r="B3957" s="7" t="str">
        <f t="shared" si="842"/>
        <v>502</v>
      </c>
      <c r="C3957" s="7" t="s">
        <v>3211</v>
      </c>
      <c r="D3957" s="7" t="s">
        <v>3187</v>
      </c>
      <c r="E3957" s="7" t="str">
        <f>"游土华"</f>
        <v>游土华</v>
      </c>
      <c r="F3957" s="7" t="str">
        <f t="shared" si="844"/>
        <v>男</v>
      </c>
      <c r="G3957" s="7" t="s">
        <v>3222</v>
      </c>
      <c r="H3957" s="8"/>
    </row>
    <row r="3958" ht="25" customHeight="1" spans="1:8">
      <c r="A3958" s="6">
        <v>3956</v>
      </c>
      <c r="B3958" s="7" t="str">
        <f t="shared" si="842"/>
        <v>502</v>
      </c>
      <c r="C3958" s="7" t="s">
        <v>3211</v>
      </c>
      <c r="D3958" s="7" t="s">
        <v>3187</v>
      </c>
      <c r="E3958" s="7" t="str">
        <f>"胡舜琪"</f>
        <v>胡舜琪</v>
      </c>
      <c r="F3958" s="7" t="str">
        <f>"女"</f>
        <v>女</v>
      </c>
      <c r="G3958" s="7" t="s">
        <v>3223</v>
      </c>
      <c r="H3958" s="8"/>
    </row>
    <row r="3959" ht="25" customHeight="1" spans="1:8">
      <c r="A3959" s="6">
        <v>3957</v>
      </c>
      <c r="B3959" s="7" t="str">
        <f t="shared" si="842"/>
        <v>502</v>
      </c>
      <c r="C3959" s="7" t="s">
        <v>3211</v>
      </c>
      <c r="D3959" s="7" t="s">
        <v>3187</v>
      </c>
      <c r="E3959" s="7" t="str">
        <f>"马森宇"</f>
        <v>马森宇</v>
      </c>
      <c r="F3959" s="7" t="str">
        <f t="shared" ref="F3959:F3968" si="845">"男"</f>
        <v>男</v>
      </c>
      <c r="G3959" s="7" t="s">
        <v>3224</v>
      </c>
      <c r="H3959" s="8"/>
    </row>
    <row r="3960" ht="25" customHeight="1" spans="1:8">
      <c r="A3960" s="6">
        <v>3958</v>
      </c>
      <c r="B3960" s="7" t="str">
        <f t="shared" si="842"/>
        <v>502</v>
      </c>
      <c r="C3960" s="7" t="s">
        <v>3211</v>
      </c>
      <c r="D3960" s="7" t="s">
        <v>3187</v>
      </c>
      <c r="E3960" s="7" t="str">
        <f>"陈佳佳"</f>
        <v>陈佳佳</v>
      </c>
      <c r="F3960" s="7" t="str">
        <f>"女"</f>
        <v>女</v>
      </c>
      <c r="G3960" s="7" t="s">
        <v>3225</v>
      </c>
      <c r="H3960" s="8"/>
    </row>
    <row r="3961" ht="25" customHeight="1" spans="1:8">
      <c r="A3961" s="6">
        <v>3959</v>
      </c>
      <c r="B3961" s="7" t="str">
        <f t="shared" si="842"/>
        <v>502</v>
      </c>
      <c r="C3961" s="7" t="s">
        <v>3211</v>
      </c>
      <c r="D3961" s="7" t="s">
        <v>3187</v>
      </c>
      <c r="E3961" s="7" t="str">
        <f>"李换善"</f>
        <v>李换善</v>
      </c>
      <c r="F3961" s="7" t="str">
        <f t="shared" si="845"/>
        <v>男</v>
      </c>
      <c r="G3961" s="7" t="s">
        <v>3226</v>
      </c>
      <c r="H3961" s="8"/>
    </row>
    <row r="3962" ht="25" customHeight="1" spans="1:8">
      <c r="A3962" s="6">
        <v>3960</v>
      </c>
      <c r="B3962" s="7" t="str">
        <f t="shared" si="842"/>
        <v>502</v>
      </c>
      <c r="C3962" s="7" t="s">
        <v>3211</v>
      </c>
      <c r="D3962" s="7" t="s">
        <v>3187</v>
      </c>
      <c r="E3962" s="7" t="str">
        <f>"叶冠儒"</f>
        <v>叶冠儒</v>
      </c>
      <c r="F3962" s="7" t="str">
        <f t="shared" si="845"/>
        <v>男</v>
      </c>
      <c r="G3962" s="7" t="s">
        <v>3227</v>
      </c>
      <c r="H3962" s="8"/>
    </row>
    <row r="3963" ht="25" customHeight="1" spans="1:8">
      <c r="A3963" s="6">
        <v>3961</v>
      </c>
      <c r="B3963" s="7" t="str">
        <f t="shared" si="842"/>
        <v>502</v>
      </c>
      <c r="C3963" s="7" t="s">
        <v>3211</v>
      </c>
      <c r="D3963" s="7" t="s">
        <v>3187</v>
      </c>
      <c r="E3963" s="7" t="str">
        <f>"许振明"</f>
        <v>许振明</v>
      </c>
      <c r="F3963" s="7" t="str">
        <f t="shared" si="845"/>
        <v>男</v>
      </c>
      <c r="G3963" s="7" t="s">
        <v>3228</v>
      </c>
      <c r="H3963" s="8"/>
    </row>
    <row r="3964" ht="25" customHeight="1" spans="1:8">
      <c r="A3964" s="6">
        <v>3962</v>
      </c>
      <c r="B3964" s="7" t="str">
        <f t="shared" si="842"/>
        <v>502</v>
      </c>
      <c r="C3964" s="7" t="s">
        <v>3211</v>
      </c>
      <c r="D3964" s="7" t="s">
        <v>3187</v>
      </c>
      <c r="E3964" s="7" t="str">
        <f>"莫昌华"</f>
        <v>莫昌华</v>
      </c>
      <c r="F3964" s="7" t="str">
        <f t="shared" si="845"/>
        <v>男</v>
      </c>
      <c r="G3964" s="7" t="s">
        <v>3229</v>
      </c>
      <c r="H3964" s="8"/>
    </row>
    <row r="3965" ht="25" customHeight="1" spans="1:8">
      <c r="A3965" s="6">
        <v>3963</v>
      </c>
      <c r="B3965" s="7" t="str">
        <f t="shared" si="842"/>
        <v>502</v>
      </c>
      <c r="C3965" s="7" t="s">
        <v>3211</v>
      </c>
      <c r="D3965" s="7" t="s">
        <v>3187</v>
      </c>
      <c r="E3965" s="7" t="str">
        <f>"王哲"</f>
        <v>王哲</v>
      </c>
      <c r="F3965" s="7" t="str">
        <f t="shared" si="845"/>
        <v>男</v>
      </c>
      <c r="G3965" s="7" t="s">
        <v>175</v>
      </c>
      <c r="H3965" s="8"/>
    </row>
    <row r="3966" ht="25" customHeight="1" spans="1:8">
      <c r="A3966" s="6">
        <v>3964</v>
      </c>
      <c r="B3966" s="7" t="str">
        <f t="shared" si="842"/>
        <v>502</v>
      </c>
      <c r="C3966" s="7" t="s">
        <v>3211</v>
      </c>
      <c r="D3966" s="7" t="s">
        <v>3187</v>
      </c>
      <c r="E3966" s="7" t="str">
        <f>"陈垂松"</f>
        <v>陈垂松</v>
      </c>
      <c r="F3966" s="7" t="str">
        <f t="shared" si="845"/>
        <v>男</v>
      </c>
      <c r="G3966" s="7" t="s">
        <v>3168</v>
      </c>
      <c r="H3966" s="8"/>
    </row>
    <row r="3967" ht="25" customHeight="1" spans="1:8">
      <c r="A3967" s="6">
        <v>3965</v>
      </c>
      <c r="B3967" s="7" t="str">
        <f t="shared" si="842"/>
        <v>502</v>
      </c>
      <c r="C3967" s="7" t="s">
        <v>3211</v>
      </c>
      <c r="D3967" s="7" t="s">
        <v>3187</v>
      </c>
      <c r="E3967" s="7" t="str">
        <f>"罗泽团"</f>
        <v>罗泽团</v>
      </c>
      <c r="F3967" s="7" t="str">
        <f t="shared" si="845"/>
        <v>男</v>
      </c>
      <c r="G3967" s="7" t="s">
        <v>3230</v>
      </c>
      <c r="H3967" s="8"/>
    </row>
    <row r="3968" ht="25" customHeight="1" spans="1:8">
      <c r="A3968" s="6">
        <v>3966</v>
      </c>
      <c r="B3968" s="7" t="str">
        <f t="shared" si="842"/>
        <v>502</v>
      </c>
      <c r="C3968" s="7" t="s">
        <v>3211</v>
      </c>
      <c r="D3968" s="7" t="s">
        <v>3187</v>
      </c>
      <c r="E3968" s="7" t="str">
        <f>"李运睿"</f>
        <v>李运睿</v>
      </c>
      <c r="F3968" s="7" t="str">
        <f t="shared" si="845"/>
        <v>男</v>
      </c>
      <c r="G3968" s="7" t="s">
        <v>3231</v>
      </c>
      <c r="H3968" s="8"/>
    </row>
    <row r="3969" ht="25" customHeight="1" spans="1:8">
      <c r="A3969" s="6">
        <v>3967</v>
      </c>
      <c r="B3969" s="7" t="str">
        <f t="shared" si="842"/>
        <v>502</v>
      </c>
      <c r="C3969" s="7" t="s">
        <v>3211</v>
      </c>
      <c r="D3969" s="7" t="s">
        <v>3187</v>
      </c>
      <c r="E3969" s="7" t="str">
        <f>"刘慧"</f>
        <v>刘慧</v>
      </c>
      <c r="F3969" s="7" t="str">
        <f>"女"</f>
        <v>女</v>
      </c>
      <c r="G3969" s="7" t="s">
        <v>338</v>
      </c>
      <c r="H3969" s="8"/>
    </row>
    <row r="3970" ht="25" customHeight="1" spans="1:8">
      <c r="A3970" s="6">
        <v>3968</v>
      </c>
      <c r="B3970" s="7" t="str">
        <f t="shared" si="842"/>
        <v>502</v>
      </c>
      <c r="C3970" s="7" t="s">
        <v>3211</v>
      </c>
      <c r="D3970" s="7" t="s">
        <v>3187</v>
      </c>
      <c r="E3970" s="7" t="str">
        <f>"罗诗竣"</f>
        <v>罗诗竣</v>
      </c>
      <c r="F3970" s="7" t="str">
        <f t="shared" ref="F3970:F3972" si="846">"男"</f>
        <v>男</v>
      </c>
      <c r="G3970" s="7" t="s">
        <v>3232</v>
      </c>
      <c r="H3970" s="8"/>
    </row>
    <row r="3971" ht="25" customHeight="1" spans="1:8">
      <c r="A3971" s="6">
        <v>3969</v>
      </c>
      <c r="B3971" s="7" t="str">
        <f t="shared" si="842"/>
        <v>502</v>
      </c>
      <c r="C3971" s="7" t="s">
        <v>3211</v>
      </c>
      <c r="D3971" s="7" t="s">
        <v>3187</v>
      </c>
      <c r="E3971" s="7" t="str">
        <f>"符兴乐"</f>
        <v>符兴乐</v>
      </c>
      <c r="F3971" s="7" t="str">
        <f t="shared" si="846"/>
        <v>男</v>
      </c>
      <c r="G3971" s="7" t="s">
        <v>3233</v>
      </c>
      <c r="H3971" s="8"/>
    </row>
    <row r="3972" ht="25" customHeight="1" spans="1:8">
      <c r="A3972" s="6">
        <v>3970</v>
      </c>
      <c r="B3972" s="7" t="str">
        <f t="shared" si="842"/>
        <v>502</v>
      </c>
      <c r="C3972" s="7" t="s">
        <v>3211</v>
      </c>
      <c r="D3972" s="7" t="s">
        <v>3187</v>
      </c>
      <c r="E3972" s="7" t="str">
        <f>"孙鸿炜"</f>
        <v>孙鸿炜</v>
      </c>
      <c r="F3972" s="7" t="str">
        <f t="shared" si="846"/>
        <v>男</v>
      </c>
      <c r="G3972" s="7" t="s">
        <v>2172</v>
      </c>
      <c r="H3972" s="8"/>
    </row>
    <row r="3973" ht="25" customHeight="1" spans="1:8">
      <c r="A3973" s="6">
        <v>3971</v>
      </c>
      <c r="B3973" s="7" t="str">
        <f t="shared" si="842"/>
        <v>502</v>
      </c>
      <c r="C3973" s="7" t="s">
        <v>3211</v>
      </c>
      <c r="D3973" s="7" t="s">
        <v>3187</v>
      </c>
      <c r="E3973" s="7" t="str">
        <f>"盆银仙"</f>
        <v>盆银仙</v>
      </c>
      <c r="F3973" s="7" t="str">
        <f t="shared" ref="F3973:F3977" si="847">"女"</f>
        <v>女</v>
      </c>
      <c r="G3973" s="7" t="s">
        <v>3234</v>
      </c>
      <c r="H3973" s="8"/>
    </row>
    <row r="3974" ht="25" customHeight="1" spans="1:8">
      <c r="A3974" s="6">
        <v>3972</v>
      </c>
      <c r="B3974" s="7" t="str">
        <f t="shared" si="842"/>
        <v>502</v>
      </c>
      <c r="C3974" s="7" t="s">
        <v>3211</v>
      </c>
      <c r="D3974" s="7" t="s">
        <v>3187</v>
      </c>
      <c r="E3974" s="7" t="str">
        <f>"郭振科"</f>
        <v>郭振科</v>
      </c>
      <c r="F3974" s="7" t="str">
        <f t="shared" ref="F3974:F3978" si="848">"男"</f>
        <v>男</v>
      </c>
      <c r="G3974" s="7" t="s">
        <v>3235</v>
      </c>
      <c r="H3974" s="8"/>
    </row>
    <row r="3975" ht="25" customHeight="1" spans="1:8">
      <c r="A3975" s="6">
        <v>3973</v>
      </c>
      <c r="B3975" s="7" t="str">
        <f t="shared" si="842"/>
        <v>502</v>
      </c>
      <c r="C3975" s="7" t="s">
        <v>3211</v>
      </c>
      <c r="D3975" s="7" t="s">
        <v>3187</v>
      </c>
      <c r="E3975" s="7" t="str">
        <f>"陈文菁"</f>
        <v>陈文菁</v>
      </c>
      <c r="F3975" s="7" t="str">
        <f t="shared" si="847"/>
        <v>女</v>
      </c>
      <c r="G3975" s="7" t="s">
        <v>2276</v>
      </c>
      <c r="H3975" s="8"/>
    </row>
    <row r="3976" ht="25" customHeight="1" spans="1:8">
      <c r="A3976" s="6">
        <v>3974</v>
      </c>
      <c r="B3976" s="7" t="str">
        <f t="shared" si="842"/>
        <v>502</v>
      </c>
      <c r="C3976" s="7" t="s">
        <v>3211</v>
      </c>
      <c r="D3976" s="7" t="s">
        <v>3187</v>
      </c>
      <c r="E3976" s="7" t="str">
        <f>"郑旺绵"</f>
        <v>郑旺绵</v>
      </c>
      <c r="F3976" s="7" t="str">
        <f t="shared" si="848"/>
        <v>男</v>
      </c>
      <c r="G3976" s="7" t="s">
        <v>1512</v>
      </c>
      <c r="H3976" s="8"/>
    </row>
    <row r="3977" ht="25" customHeight="1" spans="1:8">
      <c r="A3977" s="6">
        <v>3975</v>
      </c>
      <c r="B3977" s="7" t="str">
        <f t="shared" si="842"/>
        <v>502</v>
      </c>
      <c r="C3977" s="7" t="s">
        <v>3211</v>
      </c>
      <c r="D3977" s="7" t="s">
        <v>3187</v>
      </c>
      <c r="E3977" s="7" t="str">
        <f>"李芳芳"</f>
        <v>李芳芳</v>
      </c>
      <c r="F3977" s="7" t="str">
        <f t="shared" si="847"/>
        <v>女</v>
      </c>
      <c r="G3977" s="7" t="s">
        <v>1895</v>
      </c>
      <c r="H3977" s="8"/>
    </row>
    <row r="3978" ht="25" customHeight="1" spans="1:8">
      <c r="A3978" s="6">
        <v>3976</v>
      </c>
      <c r="B3978" s="7" t="str">
        <f t="shared" si="842"/>
        <v>502</v>
      </c>
      <c r="C3978" s="7" t="s">
        <v>3211</v>
      </c>
      <c r="D3978" s="7" t="s">
        <v>3187</v>
      </c>
      <c r="E3978" s="7" t="str">
        <f>"李春茂"</f>
        <v>李春茂</v>
      </c>
      <c r="F3978" s="7" t="str">
        <f t="shared" si="848"/>
        <v>男</v>
      </c>
      <c r="G3978" s="7" t="s">
        <v>1654</v>
      </c>
      <c r="H3978" s="8"/>
    </row>
    <row r="3979" ht="25" customHeight="1" spans="1:8">
      <c r="A3979" s="6">
        <v>3977</v>
      </c>
      <c r="B3979" s="7" t="str">
        <f t="shared" si="842"/>
        <v>502</v>
      </c>
      <c r="C3979" s="7" t="s">
        <v>3211</v>
      </c>
      <c r="D3979" s="7" t="s">
        <v>3187</v>
      </c>
      <c r="E3979" s="7" t="str">
        <f>"薛宇菲"</f>
        <v>薛宇菲</v>
      </c>
      <c r="F3979" s="7" t="str">
        <f>"女"</f>
        <v>女</v>
      </c>
      <c r="G3979" s="7" t="s">
        <v>3236</v>
      </c>
      <c r="H3979" s="8"/>
    </row>
    <row r="3980" ht="25" customHeight="1" spans="1:8">
      <c r="A3980" s="6">
        <v>3978</v>
      </c>
      <c r="B3980" s="7" t="str">
        <f t="shared" si="842"/>
        <v>502</v>
      </c>
      <c r="C3980" s="7" t="s">
        <v>3211</v>
      </c>
      <c r="D3980" s="7" t="s">
        <v>3187</v>
      </c>
      <c r="E3980" s="7" t="str">
        <f>"符友款"</f>
        <v>符友款</v>
      </c>
      <c r="F3980" s="7" t="str">
        <f t="shared" ref="F3980:F3988" si="849">"男"</f>
        <v>男</v>
      </c>
      <c r="G3980" s="7" t="s">
        <v>3237</v>
      </c>
      <c r="H3980" s="8"/>
    </row>
    <row r="3981" ht="25" customHeight="1" spans="1:8">
      <c r="A3981" s="6">
        <v>3979</v>
      </c>
      <c r="B3981" s="7" t="str">
        <f t="shared" si="842"/>
        <v>502</v>
      </c>
      <c r="C3981" s="7" t="s">
        <v>3211</v>
      </c>
      <c r="D3981" s="7" t="s">
        <v>3187</v>
      </c>
      <c r="E3981" s="7" t="str">
        <f>"陈钊"</f>
        <v>陈钊</v>
      </c>
      <c r="F3981" s="7" t="str">
        <f t="shared" si="849"/>
        <v>男</v>
      </c>
      <c r="G3981" s="7" t="s">
        <v>2217</v>
      </c>
      <c r="H3981" s="8"/>
    </row>
    <row r="3982" ht="25" customHeight="1" spans="1:8">
      <c r="A3982" s="6">
        <v>3980</v>
      </c>
      <c r="B3982" s="7" t="str">
        <f t="shared" si="842"/>
        <v>502</v>
      </c>
      <c r="C3982" s="7" t="s">
        <v>3211</v>
      </c>
      <c r="D3982" s="7" t="s">
        <v>3187</v>
      </c>
      <c r="E3982" s="7" t="str">
        <f>"徐华承"</f>
        <v>徐华承</v>
      </c>
      <c r="F3982" s="7" t="str">
        <f t="shared" si="849"/>
        <v>男</v>
      </c>
      <c r="G3982" s="7" t="s">
        <v>3238</v>
      </c>
      <c r="H3982" s="8"/>
    </row>
    <row r="3983" ht="25" customHeight="1" spans="1:8">
      <c r="A3983" s="6">
        <v>3981</v>
      </c>
      <c r="B3983" s="7" t="str">
        <f t="shared" si="842"/>
        <v>502</v>
      </c>
      <c r="C3983" s="7" t="s">
        <v>3211</v>
      </c>
      <c r="D3983" s="7" t="s">
        <v>3187</v>
      </c>
      <c r="E3983" s="7" t="str">
        <f>"王开文"</f>
        <v>王开文</v>
      </c>
      <c r="F3983" s="7" t="str">
        <f t="shared" si="849"/>
        <v>男</v>
      </c>
      <c r="G3983" s="7" t="s">
        <v>948</v>
      </c>
      <c r="H3983" s="8"/>
    </row>
    <row r="3984" ht="25" customHeight="1" spans="1:8">
      <c r="A3984" s="6">
        <v>3982</v>
      </c>
      <c r="B3984" s="7" t="str">
        <f t="shared" si="842"/>
        <v>502</v>
      </c>
      <c r="C3984" s="7" t="s">
        <v>3211</v>
      </c>
      <c r="D3984" s="7" t="s">
        <v>3187</v>
      </c>
      <c r="E3984" s="7" t="str">
        <f>"陈春茂"</f>
        <v>陈春茂</v>
      </c>
      <c r="F3984" s="7" t="str">
        <f t="shared" si="849"/>
        <v>男</v>
      </c>
      <c r="G3984" s="7" t="s">
        <v>3239</v>
      </c>
      <c r="H3984" s="8"/>
    </row>
    <row r="3985" ht="25" customHeight="1" spans="1:8">
      <c r="A3985" s="6">
        <v>3983</v>
      </c>
      <c r="B3985" s="7" t="str">
        <f t="shared" si="842"/>
        <v>502</v>
      </c>
      <c r="C3985" s="7" t="s">
        <v>3211</v>
      </c>
      <c r="D3985" s="7" t="s">
        <v>3187</v>
      </c>
      <c r="E3985" s="7" t="str">
        <f>"王马权"</f>
        <v>王马权</v>
      </c>
      <c r="F3985" s="7" t="str">
        <f t="shared" si="849"/>
        <v>男</v>
      </c>
      <c r="G3985" s="7" t="s">
        <v>3240</v>
      </c>
      <c r="H3985" s="8"/>
    </row>
    <row r="3986" ht="25" customHeight="1" spans="1:8">
      <c r="A3986" s="6">
        <v>3984</v>
      </c>
      <c r="B3986" s="7" t="str">
        <f t="shared" si="842"/>
        <v>502</v>
      </c>
      <c r="C3986" s="7" t="s">
        <v>3211</v>
      </c>
      <c r="D3986" s="7" t="s">
        <v>3187</v>
      </c>
      <c r="E3986" s="7" t="str">
        <f>"陈豪然"</f>
        <v>陈豪然</v>
      </c>
      <c r="F3986" s="7" t="str">
        <f t="shared" si="849"/>
        <v>男</v>
      </c>
      <c r="G3986" s="7" t="s">
        <v>3241</v>
      </c>
      <c r="H3986" s="8"/>
    </row>
    <row r="3987" ht="25" customHeight="1" spans="1:8">
      <c r="A3987" s="6">
        <v>3985</v>
      </c>
      <c r="B3987" s="7" t="str">
        <f t="shared" si="842"/>
        <v>502</v>
      </c>
      <c r="C3987" s="7" t="s">
        <v>3211</v>
      </c>
      <c r="D3987" s="7" t="s">
        <v>3187</v>
      </c>
      <c r="E3987" s="7" t="str">
        <f>"周康"</f>
        <v>周康</v>
      </c>
      <c r="F3987" s="7" t="str">
        <f t="shared" si="849"/>
        <v>男</v>
      </c>
      <c r="G3987" s="7" t="s">
        <v>3235</v>
      </c>
      <c r="H3987" s="8"/>
    </row>
    <row r="3988" ht="25" customHeight="1" spans="1:8">
      <c r="A3988" s="6">
        <v>3986</v>
      </c>
      <c r="B3988" s="7" t="str">
        <f t="shared" si="842"/>
        <v>502</v>
      </c>
      <c r="C3988" s="7" t="s">
        <v>3211</v>
      </c>
      <c r="D3988" s="7" t="s">
        <v>3187</v>
      </c>
      <c r="E3988" s="7" t="str">
        <f>"邢赛攀"</f>
        <v>邢赛攀</v>
      </c>
      <c r="F3988" s="7" t="str">
        <f t="shared" si="849"/>
        <v>男</v>
      </c>
      <c r="G3988" s="7" t="s">
        <v>3242</v>
      </c>
      <c r="H3988" s="8"/>
    </row>
    <row r="3989" ht="25" customHeight="1" spans="1:8">
      <c r="A3989" s="6">
        <v>3987</v>
      </c>
      <c r="B3989" s="7" t="str">
        <f t="shared" si="842"/>
        <v>502</v>
      </c>
      <c r="C3989" s="7" t="s">
        <v>3211</v>
      </c>
      <c r="D3989" s="7" t="s">
        <v>3187</v>
      </c>
      <c r="E3989" s="7" t="str">
        <f>"陈亚非"</f>
        <v>陈亚非</v>
      </c>
      <c r="F3989" s="7" t="str">
        <f>"女"</f>
        <v>女</v>
      </c>
      <c r="G3989" s="7" t="s">
        <v>2413</v>
      </c>
      <c r="H3989" s="8"/>
    </row>
    <row r="3990" ht="25" customHeight="1" spans="1:8">
      <c r="A3990" s="6">
        <v>3988</v>
      </c>
      <c r="B3990" s="7" t="str">
        <f t="shared" si="842"/>
        <v>502</v>
      </c>
      <c r="C3990" s="7" t="s">
        <v>3211</v>
      </c>
      <c r="D3990" s="7" t="s">
        <v>3187</v>
      </c>
      <c r="E3990" s="7" t="str">
        <f>"王邦奋"</f>
        <v>王邦奋</v>
      </c>
      <c r="F3990" s="7" t="str">
        <f t="shared" ref="F3990:F3993" si="850">"男"</f>
        <v>男</v>
      </c>
      <c r="G3990" s="7" t="s">
        <v>999</v>
      </c>
      <c r="H3990" s="8"/>
    </row>
    <row r="3991" ht="25" customHeight="1" spans="1:8">
      <c r="A3991" s="6">
        <v>3989</v>
      </c>
      <c r="B3991" s="7" t="str">
        <f t="shared" si="842"/>
        <v>502</v>
      </c>
      <c r="C3991" s="7" t="s">
        <v>3211</v>
      </c>
      <c r="D3991" s="7" t="s">
        <v>3187</v>
      </c>
      <c r="E3991" s="7" t="str">
        <f>"黄青山"</f>
        <v>黄青山</v>
      </c>
      <c r="F3991" s="7" t="str">
        <f t="shared" si="850"/>
        <v>男</v>
      </c>
      <c r="G3991" s="7" t="s">
        <v>3243</v>
      </c>
      <c r="H3991" s="8"/>
    </row>
    <row r="3992" ht="25" customHeight="1" spans="1:8">
      <c r="A3992" s="6">
        <v>3990</v>
      </c>
      <c r="B3992" s="7" t="str">
        <f t="shared" si="842"/>
        <v>502</v>
      </c>
      <c r="C3992" s="7" t="s">
        <v>3211</v>
      </c>
      <c r="D3992" s="7" t="s">
        <v>3187</v>
      </c>
      <c r="E3992" s="7" t="str">
        <f>"黄朝静"</f>
        <v>黄朝静</v>
      </c>
      <c r="F3992" s="7" t="str">
        <f t="shared" si="850"/>
        <v>男</v>
      </c>
      <c r="G3992" s="7" t="s">
        <v>3244</v>
      </c>
      <c r="H3992" s="8"/>
    </row>
    <row r="3993" ht="25" customHeight="1" spans="1:8">
      <c r="A3993" s="6">
        <v>3991</v>
      </c>
      <c r="B3993" s="7" t="str">
        <f t="shared" si="842"/>
        <v>502</v>
      </c>
      <c r="C3993" s="7" t="s">
        <v>3211</v>
      </c>
      <c r="D3993" s="7" t="s">
        <v>3187</v>
      </c>
      <c r="E3993" s="7" t="str">
        <f>"邹雨蒙"</f>
        <v>邹雨蒙</v>
      </c>
      <c r="F3993" s="7" t="str">
        <f t="shared" si="850"/>
        <v>男</v>
      </c>
      <c r="G3993" s="7" t="s">
        <v>3245</v>
      </c>
      <c r="H3993" s="8"/>
    </row>
    <row r="3994" ht="25" customHeight="1" spans="1:8">
      <c r="A3994" s="6">
        <v>3992</v>
      </c>
      <c r="B3994" s="7" t="str">
        <f t="shared" si="842"/>
        <v>502</v>
      </c>
      <c r="C3994" s="7" t="s">
        <v>3211</v>
      </c>
      <c r="D3994" s="7" t="s">
        <v>3187</v>
      </c>
      <c r="E3994" s="7" t="str">
        <f>"阳柳清"</f>
        <v>阳柳清</v>
      </c>
      <c r="F3994" s="7" t="str">
        <f>"女"</f>
        <v>女</v>
      </c>
      <c r="G3994" s="7" t="s">
        <v>3246</v>
      </c>
      <c r="H3994" s="8"/>
    </row>
    <row r="3995" ht="25" customHeight="1" spans="1:8">
      <c r="A3995" s="6">
        <v>3993</v>
      </c>
      <c r="B3995" s="7" t="str">
        <f t="shared" si="842"/>
        <v>502</v>
      </c>
      <c r="C3995" s="7" t="s">
        <v>3211</v>
      </c>
      <c r="D3995" s="7" t="s">
        <v>3187</v>
      </c>
      <c r="E3995" s="7" t="str">
        <f>"王泽澎"</f>
        <v>王泽澎</v>
      </c>
      <c r="F3995" s="7" t="str">
        <f t="shared" ref="F3995:F4003" si="851">"男"</f>
        <v>男</v>
      </c>
      <c r="G3995" s="7" t="s">
        <v>3247</v>
      </c>
      <c r="H3995" s="8"/>
    </row>
    <row r="3996" ht="25" customHeight="1" spans="1:8">
      <c r="A3996" s="6">
        <v>3994</v>
      </c>
      <c r="B3996" s="7" t="str">
        <f t="shared" si="842"/>
        <v>502</v>
      </c>
      <c r="C3996" s="7" t="s">
        <v>3211</v>
      </c>
      <c r="D3996" s="7" t="s">
        <v>3187</v>
      </c>
      <c r="E3996" s="7" t="str">
        <f>"林尤锐"</f>
        <v>林尤锐</v>
      </c>
      <c r="F3996" s="7" t="str">
        <f t="shared" si="851"/>
        <v>男</v>
      </c>
      <c r="G3996" s="7" t="s">
        <v>3248</v>
      </c>
      <c r="H3996" s="8"/>
    </row>
    <row r="3997" ht="25" customHeight="1" spans="1:8">
      <c r="A3997" s="6">
        <v>3995</v>
      </c>
      <c r="B3997" s="7" t="str">
        <f t="shared" si="842"/>
        <v>502</v>
      </c>
      <c r="C3997" s="7" t="s">
        <v>3211</v>
      </c>
      <c r="D3997" s="7" t="s">
        <v>3187</v>
      </c>
      <c r="E3997" s="7" t="str">
        <f>"李昌坤"</f>
        <v>李昌坤</v>
      </c>
      <c r="F3997" s="7" t="str">
        <f t="shared" si="851"/>
        <v>男</v>
      </c>
      <c r="G3997" s="7" t="s">
        <v>887</v>
      </c>
      <c r="H3997" s="8"/>
    </row>
    <row r="3998" ht="25" customHeight="1" spans="1:8">
      <c r="A3998" s="6">
        <v>3996</v>
      </c>
      <c r="B3998" s="7" t="str">
        <f t="shared" si="842"/>
        <v>502</v>
      </c>
      <c r="C3998" s="7" t="s">
        <v>3211</v>
      </c>
      <c r="D3998" s="7" t="s">
        <v>3187</v>
      </c>
      <c r="E3998" s="7" t="str">
        <f>"程思清"</f>
        <v>程思清</v>
      </c>
      <c r="F3998" s="7" t="str">
        <f t="shared" si="851"/>
        <v>男</v>
      </c>
      <c r="G3998" s="7" t="s">
        <v>3249</v>
      </c>
      <c r="H3998" s="8"/>
    </row>
    <row r="3999" ht="25" customHeight="1" spans="1:8">
      <c r="A3999" s="6">
        <v>3997</v>
      </c>
      <c r="B3999" s="7" t="str">
        <f t="shared" si="842"/>
        <v>502</v>
      </c>
      <c r="C3999" s="7" t="s">
        <v>3211</v>
      </c>
      <c r="D3999" s="7" t="s">
        <v>3187</v>
      </c>
      <c r="E3999" s="7" t="str">
        <f>"柯先亮"</f>
        <v>柯先亮</v>
      </c>
      <c r="F3999" s="7" t="str">
        <f t="shared" si="851"/>
        <v>男</v>
      </c>
      <c r="G3999" s="7" t="s">
        <v>3250</v>
      </c>
      <c r="H3999" s="8"/>
    </row>
    <row r="4000" ht="25" customHeight="1" spans="1:8">
      <c r="A4000" s="6">
        <v>3998</v>
      </c>
      <c r="B4000" s="7" t="str">
        <f t="shared" si="842"/>
        <v>502</v>
      </c>
      <c r="C4000" s="7" t="s">
        <v>3211</v>
      </c>
      <c r="D4000" s="7" t="s">
        <v>3187</v>
      </c>
      <c r="E4000" s="7" t="str">
        <f>"张千龙"</f>
        <v>张千龙</v>
      </c>
      <c r="F4000" s="7" t="str">
        <f t="shared" si="851"/>
        <v>男</v>
      </c>
      <c r="G4000" s="7" t="s">
        <v>3251</v>
      </c>
      <c r="H4000" s="8"/>
    </row>
    <row r="4001" ht="25" customHeight="1" spans="1:8">
      <c r="A4001" s="6">
        <v>3999</v>
      </c>
      <c r="B4001" s="7" t="str">
        <f t="shared" si="842"/>
        <v>502</v>
      </c>
      <c r="C4001" s="7" t="s">
        <v>3211</v>
      </c>
      <c r="D4001" s="7" t="s">
        <v>3187</v>
      </c>
      <c r="E4001" s="7" t="str">
        <f>"毛宇轩"</f>
        <v>毛宇轩</v>
      </c>
      <c r="F4001" s="7" t="str">
        <f t="shared" si="851"/>
        <v>男</v>
      </c>
      <c r="G4001" s="7" t="s">
        <v>3252</v>
      </c>
      <c r="H4001" s="8"/>
    </row>
    <row r="4002" ht="25" customHeight="1" spans="1:8">
      <c r="A4002" s="6">
        <v>4000</v>
      </c>
      <c r="B4002" s="7" t="str">
        <f t="shared" si="842"/>
        <v>502</v>
      </c>
      <c r="C4002" s="7" t="s">
        <v>3211</v>
      </c>
      <c r="D4002" s="7" t="s">
        <v>3187</v>
      </c>
      <c r="E4002" s="7" t="str">
        <f>"常宏勇"</f>
        <v>常宏勇</v>
      </c>
      <c r="F4002" s="7" t="str">
        <f t="shared" si="851"/>
        <v>男</v>
      </c>
      <c r="G4002" s="7" t="s">
        <v>3253</v>
      </c>
      <c r="H4002" s="8"/>
    </row>
    <row r="4003" ht="25" customHeight="1" spans="1:8">
      <c r="A4003" s="6">
        <v>4001</v>
      </c>
      <c r="B4003" s="7" t="str">
        <f t="shared" ref="B4003:B4012" si="852">"503"</f>
        <v>503</v>
      </c>
      <c r="C4003" s="7" t="s">
        <v>3169</v>
      </c>
      <c r="D4003" s="7" t="s">
        <v>3187</v>
      </c>
      <c r="E4003" s="7" t="str">
        <f>"柳小壮"</f>
        <v>柳小壮</v>
      </c>
      <c r="F4003" s="7" t="str">
        <f t="shared" si="851"/>
        <v>男</v>
      </c>
      <c r="G4003" s="7" t="s">
        <v>1823</v>
      </c>
      <c r="H4003" s="8"/>
    </row>
    <row r="4004" ht="25" customHeight="1" spans="1:8">
      <c r="A4004" s="6">
        <v>4002</v>
      </c>
      <c r="B4004" s="7" t="str">
        <f t="shared" si="852"/>
        <v>503</v>
      </c>
      <c r="C4004" s="7" t="s">
        <v>3169</v>
      </c>
      <c r="D4004" s="7" t="s">
        <v>3187</v>
      </c>
      <c r="E4004" s="7" t="str">
        <f>"符小慧"</f>
        <v>符小慧</v>
      </c>
      <c r="F4004" s="7" t="str">
        <f t="shared" ref="F4004:F4010" si="853">"女"</f>
        <v>女</v>
      </c>
      <c r="G4004" s="7" t="s">
        <v>3254</v>
      </c>
      <c r="H4004" s="8"/>
    </row>
    <row r="4005" ht="25" customHeight="1" spans="1:8">
      <c r="A4005" s="6">
        <v>4003</v>
      </c>
      <c r="B4005" s="7" t="str">
        <f t="shared" si="852"/>
        <v>503</v>
      </c>
      <c r="C4005" s="7" t="s">
        <v>3169</v>
      </c>
      <c r="D4005" s="7" t="s">
        <v>3187</v>
      </c>
      <c r="E4005" s="7" t="str">
        <f>"张瑞杰"</f>
        <v>张瑞杰</v>
      </c>
      <c r="F4005" s="7" t="str">
        <f t="shared" si="853"/>
        <v>女</v>
      </c>
      <c r="G4005" s="7" t="s">
        <v>3255</v>
      </c>
      <c r="H4005" s="8"/>
    </row>
    <row r="4006" ht="25" customHeight="1" spans="1:8">
      <c r="A4006" s="6">
        <v>4004</v>
      </c>
      <c r="B4006" s="7" t="str">
        <f t="shared" si="852"/>
        <v>503</v>
      </c>
      <c r="C4006" s="7" t="s">
        <v>3169</v>
      </c>
      <c r="D4006" s="7" t="s">
        <v>3187</v>
      </c>
      <c r="E4006" s="7" t="str">
        <f>"林天雄"</f>
        <v>林天雄</v>
      </c>
      <c r="F4006" s="7" t="str">
        <f>"男"</f>
        <v>男</v>
      </c>
      <c r="G4006" s="7" t="s">
        <v>3256</v>
      </c>
      <c r="H4006" s="8"/>
    </row>
    <row r="4007" ht="25" customHeight="1" spans="1:8">
      <c r="A4007" s="6">
        <v>4005</v>
      </c>
      <c r="B4007" s="7" t="str">
        <f t="shared" si="852"/>
        <v>503</v>
      </c>
      <c r="C4007" s="7" t="s">
        <v>3169</v>
      </c>
      <c r="D4007" s="7" t="s">
        <v>3187</v>
      </c>
      <c r="E4007" s="7" t="str">
        <f>"方雅珉"</f>
        <v>方雅珉</v>
      </c>
      <c r="F4007" s="7" t="str">
        <f t="shared" si="853"/>
        <v>女</v>
      </c>
      <c r="G4007" s="7" t="s">
        <v>3257</v>
      </c>
      <c r="H4007" s="8"/>
    </row>
    <row r="4008" ht="25" customHeight="1" spans="1:8">
      <c r="A4008" s="6">
        <v>4006</v>
      </c>
      <c r="B4008" s="7" t="str">
        <f t="shared" si="852"/>
        <v>503</v>
      </c>
      <c r="C4008" s="7" t="s">
        <v>3169</v>
      </c>
      <c r="D4008" s="7" t="s">
        <v>3187</v>
      </c>
      <c r="E4008" s="7" t="str">
        <f>"王梅"</f>
        <v>王梅</v>
      </c>
      <c r="F4008" s="7" t="str">
        <f t="shared" si="853"/>
        <v>女</v>
      </c>
      <c r="G4008" s="7" t="s">
        <v>2644</v>
      </c>
      <c r="H4008" s="8"/>
    </row>
    <row r="4009" ht="25" customHeight="1" spans="1:8">
      <c r="A4009" s="6">
        <v>4007</v>
      </c>
      <c r="B4009" s="7" t="str">
        <f t="shared" si="852"/>
        <v>503</v>
      </c>
      <c r="C4009" s="7" t="s">
        <v>3169</v>
      </c>
      <c r="D4009" s="7" t="s">
        <v>3187</v>
      </c>
      <c r="E4009" s="7" t="str">
        <f>"吴海芬"</f>
        <v>吴海芬</v>
      </c>
      <c r="F4009" s="7" t="str">
        <f t="shared" si="853"/>
        <v>女</v>
      </c>
      <c r="G4009" s="7" t="s">
        <v>66</v>
      </c>
      <c r="H4009" s="8"/>
    </row>
    <row r="4010" ht="25" customHeight="1" spans="1:8">
      <c r="A4010" s="6">
        <v>4008</v>
      </c>
      <c r="B4010" s="7" t="str">
        <f t="shared" si="852"/>
        <v>503</v>
      </c>
      <c r="C4010" s="7" t="s">
        <v>3169</v>
      </c>
      <c r="D4010" s="7" t="s">
        <v>3187</v>
      </c>
      <c r="E4010" s="7" t="str">
        <f>"张娟娇"</f>
        <v>张娟娇</v>
      </c>
      <c r="F4010" s="7" t="str">
        <f t="shared" si="853"/>
        <v>女</v>
      </c>
      <c r="G4010" s="7" t="s">
        <v>1047</v>
      </c>
      <c r="H4010" s="8"/>
    </row>
    <row r="4011" ht="25" customHeight="1" spans="1:8">
      <c r="A4011" s="6">
        <v>4009</v>
      </c>
      <c r="B4011" s="7" t="str">
        <f t="shared" si="852"/>
        <v>503</v>
      </c>
      <c r="C4011" s="7" t="s">
        <v>3169</v>
      </c>
      <c r="D4011" s="7" t="s">
        <v>3187</v>
      </c>
      <c r="E4011" s="7" t="str">
        <f>"陈强文"</f>
        <v>陈强文</v>
      </c>
      <c r="F4011" s="7" t="str">
        <f>"男"</f>
        <v>男</v>
      </c>
      <c r="G4011" s="7" t="s">
        <v>3258</v>
      </c>
      <c r="H4011" s="8"/>
    </row>
    <row r="4012" ht="25" customHeight="1" spans="1:8">
      <c r="A4012" s="6">
        <v>4010</v>
      </c>
      <c r="B4012" s="7" t="str">
        <f t="shared" si="852"/>
        <v>503</v>
      </c>
      <c r="C4012" s="7" t="s">
        <v>3169</v>
      </c>
      <c r="D4012" s="7" t="s">
        <v>3187</v>
      </c>
      <c r="E4012" s="7" t="str">
        <f>"蒲月丽"</f>
        <v>蒲月丽</v>
      </c>
      <c r="F4012" s="7" t="str">
        <f t="shared" ref="F4012:F4026" si="854">"女"</f>
        <v>女</v>
      </c>
      <c r="G4012" s="7" t="s">
        <v>76</v>
      </c>
      <c r="H4012" s="8"/>
    </row>
    <row r="4013" ht="25" customHeight="1" spans="1:8">
      <c r="A4013" s="6">
        <v>4011</v>
      </c>
      <c r="B4013" s="7" t="str">
        <f t="shared" ref="B4013:B4049" si="855">"504"</f>
        <v>504</v>
      </c>
      <c r="C4013" s="7" t="s">
        <v>3259</v>
      </c>
      <c r="D4013" s="7" t="s">
        <v>3187</v>
      </c>
      <c r="E4013" s="7" t="str">
        <f>"符兆莹"</f>
        <v>符兆莹</v>
      </c>
      <c r="F4013" s="7" t="str">
        <f t="shared" si="854"/>
        <v>女</v>
      </c>
      <c r="G4013" s="7" t="s">
        <v>3260</v>
      </c>
      <c r="H4013" s="8"/>
    </row>
    <row r="4014" ht="25" customHeight="1" spans="1:8">
      <c r="A4014" s="6">
        <v>4012</v>
      </c>
      <c r="B4014" s="7" t="str">
        <f t="shared" si="855"/>
        <v>504</v>
      </c>
      <c r="C4014" s="7" t="s">
        <v>3259</v>
      </c>
      <c r="D4014" s="7" t="s">
        <v>3187</v>
      </c>
      <c r="E4014" s="7" t="str">
        <f>"黄京京"</f>
        <v>黄京京</v>
      </c>
      <c r="F4014" s="7" t="str">
        <f t="shared" si="854"/>
        <v>女</v>
      </c>
      <c r="G4014" s="7" t="s">
        <v>3261</v>
      </c>
      <c r="H4014" s="8"/>
    </row>
    <row r="4015" ht="25" customHeight="1" spans="1:8">
      <c r="A4015" s="6">
        <v>4013</v>
      </c>
      <c r="B4015" s="7" t="str">
        <f t="shared" si="855"/>
        <v>504</v>
      </c>
      <c r="C4015" s="7" t="s">
        <v>3259</v>
      </c>
      <c r="D4015" s="7" t="s">
        <v>3187</v>
      </c>
      <c r="E4015" s="7" t="str">
        <f>"李泽萌"</f>
        <v>李泽萌</v>
      </c>
      <c r="F4015" s="7" t="str">
        <f t="shared" si="854"/>
        <v>女</v>
      </c>
      <c r="G4015" s="7" t="s">
        <v>3262</v>
      </c>
      <c r="H4015" s="8"/>
    </row>
    <row r="4016" ht="25" customHeight="1" spans="1:8">
      <c r="A4016" s="6">
        <v>4014</v>
      </c>
      <c r="B4016" s="7" t="str">
        <f t="shared" si="855"/>
        <v>504</v>
      </c>
      <c r="C4016" s="7" t="s">
        <v>3259</v>
      </c>
      <c r="D4016" s="7" t="s">
        <v>3187</v>
      </c>
      <c r="E4016" s="7" t="str">
        <f>"毛敏"</f>
        <v>毛敏</v>
      </c>
      <c r="F4016" s="7" t="str">
        <f t="shared" si="854"/>
        <v>女</v>
      </c>
      <c r="G4016" s="7" t="s">
        <v>3263</v>
      </c>
      <c r="H4016" s="8"/>
    </row>
    <row r="4017" ht="25" customHeight="1" spans="1:8">
      <c r="A4017" s="6">
        <v>4015</v>
      </c>
      <c r="B4017" s="7" t="str">
        <f t="shared" si="855"/>
        <v>504</v>
      </c>
      <c r="C4017" s="7" t="s">
        <v>3259</v>
      </c>
      <c r="D4017" s="7" t="s">
        <v>3187</v>
      </c>
      <c r="E4017" s="7" t="str">
        <f>"许盈盈"</f>
        <v>许盈盈</v>
      </c>
      <c r="F4017" s="7" t="str">
        <f t="shared" si="854"/>
        <v>女</v>
      </c>
      <c r="G4017" s="7" t="s">
        <v>3264</v>
      </c>
      <c r="H4017" s="8"/>
    </row>
    <row r="4018" ht="25" customHeight="1" spans="1:8">
      <c r="A4018" s="6">
        <v>4016</v>
      </c>
      <c r="B4018" s="7" t="str">
        <f t="shared" si="855"/>
        <v>504</v>
      </c>
      <c r="C4018" s="7" t="s">
        <v>3259</v>
      </c>
      <c r="D4018" s="7" t="s">
        <v>3187</v>
      </c>
      <c r="E4018" s="7" t="str">
        <f>"王世梅"</f>
        <v>王世梅</v>
      </c>
      <c r="F4018" s="7" t="str">
        <f t="shared" si="854"/>
        <v>女</v>
      </c>
      <c r="G4018" s="7" t="s">
        <v>3265</v>
      </c>
      <c r="H4018" s="8"/>
    </row>
    <row r="4019" ht="25" customHeight="1" spans="1:8">
      <c r="A4019" s="6">
        <v>4017</v>
      </c>
      <c r="B4019" s="7" t="str">
        <f t="shared" si="855"/>
        <v>504</v>
      </c>
      <c r="C4019" s="7" t="s">
        <v>3259</v>
      </c>
      <c r="D4019" s="7" t="s">
        <v>3187</v>
      </c>
      <c r="E4019" s="7" t="str">
        <f>"王祉茜"</f>
        <v>王祉茜</v>
      </c>
      <c r="F4019" s="7" t="str">
        <f t="shared" si="854"/>
        <v>女</v>
      </c>
      <c r="G4019" s="7" t="s">
        <v>147</v>
      </c>
      <c r="H4019" s="8"/>
    </row>
    <row r="4020" ht="25" customHeight="1" spans="1:8">
      <c r="A4020" s="6">
        <v>4018</v>
      </c>
      <c r="B4020" s="7" t="str">
        <f t="shared" si="855"/>
        <v>504</v>
      </c>
      <c r="C4020" s="7" t="s">
        <v>3259</v>
      </c>
      <c r="D4020" s="7" t="s">
        <v>3187</v>
      </c>
      <c r="E4020" s="7" t="str">
        <f>"钟巧琳"</f>
        <v>钟巧琳</v>
      </c>
      <c r="F4020" s="7" t="str">
        <f t="shared" si="854"/>
        <v>女</v>
      </c>
      <c r="G4020" s="7" t="s">
        <v>920</v>
      </c>
      <c r="H4020" s="8"/>
    </row>
    <row r="4021" ht="25" customHeight="1" spans="1:8">
      <c r="A4021" s="6">
        <v>4019</v>
      </c>
      <c r="B4021" s="7" t="str">
        <f t="shared" si="855"/>
        <v>504</v>
      </c>
      <c r="C4021" s="7" t="s">
        <v>3259</v>
      </c>
      <c r="D4021" s="7" t="s">
        <v>3187</v>
      </c>
      <c r="E4021" s="7" t="str">
        <f>"韩艳艳"</f>
        <v>韩艳艳</v>
      </c>
      <c r="F4021" s="7" t="str">
        <f t="shared" si="854"/>
        <v>女</v>
      </c>
      <c r="G4021" s="7" t="s">
        <v>3266</v>
      </c>
      <c r="H4021" s="8"/>
    </row>
    <row r="4022" ht="25" customHeight="1" spans="1:8">
      <c r="A4022" s="6">
        <v>4020</v>
      </c>
      <c r="B4022" s="7" t="str">
        <f t="shared" si="855"/>
        <v>504</v>
      </c>
      <c r="C4022" s="7" t="s">
        <v>3259</v>
      </c>
      <c r="D4022" s="7" t="s">
        <v>3187</v>
      </c>
      <c r="E4022" s="7" t="str">
        <f>"符林婧"</f>
        <v>符林婧</v>
      </c>
      <c r="F4022" s="7" t="str">
        <f t="shared" si="854"/>
        <v>女</v>
      </c>
      <c r="G4022" s="7" t="s">
        <v>3267</v>
      </c>
      <c r="H4022" s="8"/>
    </row>
    <row r="4023" ht="25" customHeight="1" spans="1:8">
      <c r="A4023" s="6">
        <v>4021</v>
      </c>
      <c r="B4023" s="7" t="str">
        <f t="shared" si="855"/>
        <v>504</v>
      </c>
      <c r="C4023" s="7" t="s">
        <v>3259</v>
      </c>
      <c r="D4023" s="7" t="s">
        <v>3187</v>
      </c>
      <c r="E4023" s="7" t="str">
        <f>"周淑乾"</f>
        <v>周淑乾</v>
      </c>
      <c r="F4023" s="7" t="str">
        <f t="shared" si="854"/>
        <v>女</v>
      </c>
      <c r="G4023" s="7" t="s">
        <v>3268</v>
      </c>
      <c r="H4023" s="8"/>
    </row>
    <row r="4024" ht="25" customHeight="1" spans="1:8">
      <c r="A4024" s="6">
        <v>4022</v>
      </c>
      <c r="B4024" s="7" t="str">
        <f t="shared" si="855"/>
        <v>504</v>
      </c>
      <c r="C4024" s="7" t="s">
        <v>3259</v>
      </c>
      <c r="D4024" s="7" t="s">
        <v>3187</v>
      </c>
      <c r="E4024" s="7" t="str">
        <f>"潘琳曼"</f>
        <v>潘琳曼</v>
      </c>
      <c r="F4024" s="7" t="str">
        <f t="shared" si="854"/>
        <v>女</v>
      </c>
      <c r="G4024" s="7" t="s">
        <v>3269</v>
      </c>
      <c r="H4024" s="8"/>
    </row>
    <row r="4025" ht="25" customHeight="1" spans="1:8">
      <c r="A4025" s="6">
        <v>4023</v>
      </c>
      <c r="B4025" s="7" t="str">
        <f t="shared" si="855"/>
        <v>504</v>
      </c>
      <c r="C4025" s="7" t="s">
        <v>3259</v>
      </c>
      <c r="D4025" s="7" t="s">
        <v>3187</v>
      </c>
      <c r="E4025" s="7" t="str">
        <f>"陈琼瑛"</f>
        <v>陈琼瑛</v>
      </c>
      <c r="F4025" s="7" t="str">
        <f t="shared" si="854"/>
        <v>女</v>
      </c>
      <c r="G4025" s="7" t="s">
        <v>790</v>
      </c>
      <c r="H4025" s="8"/>
    </row>
    <row r="4026" ht="25" customHeight="1" spans="1:8">
      <c r="A4026" s="6">
        <v>4024</v>
      </c>
      <c r="B4026" s="7" t="str">
        <f t="shared" si="855"/>
        <v>504</v>
      </c>
      <c r="C4026" s="7" t="s">
        <v>3259</v>
      </c>
      <c r="D4026" s="7" t="s">
        <v>3187</v>
      </c>
      <c r="E4026" s="7" t="str">
        <f>"梁咪咪"</f>
        <v>梁咪咪</v>
      </c>
      <c r="F4026" s="7" t="str">
        <f t="shared" si="854"/>
        <v>女</v>
      </c>
      <c r="G4026" s="7" t="s">
        <v>2566</v>
      </c>
      <c r="H4026" s="8"/>
    </row>
    <row r="4027" ht="25" customHeight="1" spans="1:8">
      <c r="A4027" s="6">
        <v>4025</v>
      </c>
      <c r="B4027" s="7" t="str">
        <f t="shared" si="855"/>
        <v>504</v>
      </c>
      <c r="C4027" s="7" t="s">
        <v>3259</v>
      </c>
      <c r="D4027" s="7" t="s">
        <v>3187</v>
      </c>
      <c r="E4027" s="7" t="str">
        <f>"李定昌"</f>
        <v>李定昌</v>
      </c>
      <c r="F4027" s="7" t="str">
        <f>"男"</f>
        <v>男</v>
      </c>
      <c r="G4027" s="7" t="s">
        <v>3270</v>
      </c>
      <c r="H4027" s="8"/>
    </row>
    <row r="4028" ht="25" customHeight="1" spans="1:8">
      <c r="A4028" s="6">
        <v>4026</v>
      </c>
      <c r="B4028" s="7" t="str">
        <f t="shared" si="855"/>
        <v>504</v>
      </c>
      <c r="C4028" s="7" t="s">
        <v>3259</v>
      </c>
      <c r="D4028" s="7" t="s">
        <v>3187</v>
      </c>
      <c r="E4028" s="7" t="str">
        <f>"符永尊"</f>
        <v>符永尊</v>
      </c>
      <c r="F4028" s="7" t="str">
        <f>"男"</f>
        <v>男</v>
      </c>
      <c r="G4028" s="7" t="s">
        <v>3271</v>
      </c>
      <c r="H4028" s="8"/>
    </row>
    <row r="4029" ht="25" customHeight="1" spans="1:8">
      <c r="A4029" s="6">
        <v>4027</v>
      </c>
      <c r="B4029" s="7" t="str">
        <f t="shared" si="855"/>
        <v>504</v>
      </c>
      <c r="C4029" s="7" t="s">
        <v>3259</v>
      </c>
      <c r="D4029" s="7" t="s">
        <v>3187</v>
      </c>
      <c r="E4029" s="7" t="str">
        <f>"符巧羽"</f>
        <v>符巧羽</v>
      </c>
      <c r="F4029" s="7" t="str">
        <f t="shared" ref="F4029:F4048" si="856">"女"</f>
        <v>女</v>
      </c>
      <c r="G4029" s="7" t="s">
        <v>3272</v>
      </c>
      <c r="H4029" s="8"/>
    </row>
    <row r="4030" ht="25" customHeight="1" spans="1:8">
      <c r="A4030" s="6">
        <v>4028</v>
      </c>
      <c r="B4030" s="7" t="str">
        <f t="shared" si="855"/>
        <v>504</v>
      </c>
      <c r="C4030" s="7" t="s">
        <v>3259</v>
      </c>
      <c r="D4030" s="7" t="s">
        <v>3187</v>
      </c>
      <c r="E4030" s="7" t="str">
        <f>"李希萌"</f>
        <v>李希萌</v>
      </c>
      <c r="F4030" s="7" t="str">
        <f t="shared" si="856"/>
        <v>女</v>
      </c>
      <c r="G4030" s="7" t="s">
        <v>3273</v>
      </c>
      <c r="H4030" s="8"/>
    </row>
    <row r="4031" ht="25" customHeight="1" spans="1:8">
      <c r="A4031" s="6">
        <v>4029</v>
      </c>
      <c r="B4031" s="7" t="str">
        <f t="shared" si="855"/>
        <v>504</v>
      </c>
      <c r="C4031" s="7" t="s">
        <v>3259</v>
      </c>
      <c r="D4031" s="7" t="s">
        <v>3187</v>
      </c>
      <c r="E4031" s="7" t="str">
        <f>"刘呈颖"</f>
        <v>刘呈颖</v>
      </c>
      <c r="F4031" s="7" t="str">
        <f t="shared" si="856"/>
        <v>女</v>
      </c>
      <c r="G4031" s="7" t="s">
        <v>2624</v>
      </c>
      <c r="H4031" s="8"/>
    </row>
    <row r="4032" ht="25" customHeight="1" spans="1:8">
      <c r="A4032" s="6">
        <v>4030</v>
      </c>
      <c r="B4032" s="7" t="str">
        <f t="shared" si="855"/>
        <v>504</v>
      </c>
      <c r="C4032" s="7" t="s">
        <v>3259</v>
      </c>
      <c r="D4032" s="7" t="s">
        <v>3187</v>
      </c>
      <c r="E4032" s="7" t="str">
        <f>"肖方慧"</f>
        <v>肖方慧</v>
      </c>
      <c r="F4032" s="7" t="str">
        <f t="shared" si="856"/>
        <v>女</v>
      </c>
      <c r="G4032" s="7" t="s">
        <v>3274</v>
      </c>
      <c r="H4032" s="8"/>
    </row>
    <row r="4033" ht="25" customHeight="1" spans="1:8">
      <c r="A4033" s="6">
        <v>4031</v>
      </c>
      <c r="B4033" s="7" t="str">
        <f t="shared" si="855"/>
        <v>504</v>
      </c>
      <c r="C4033" s="7" t="s">
        <v>3259</v>
      </c>
      <c r="D4033" s="7" t="s">
        <v>3187</v>
      </c>
      <c r="E4033" s="7" t="str">
        <f>"符文婷"</f>
        <v>符文婷</v>
      </c>
      <c r="F4033" s="7" t="str">
        <f t="shared" si="856"/>
        <v>女</v>
      </c>
      <c r="G4033" s="7" t="s">
        <v>651</v>
      </c>
      <c r="H4033" s="8"/>
    </row>
    <row r="4034" ht="25" customHeight="1" spans="1:8">
      <c r="A4034" s="6">
        <v>4032</v>
      </c>
      <c r="B4034" s="7" t="str">
        <f t="shared" si="855"/>
        <v>504</v>
      </c>
      <c r="C4034" s="7" t="s">
        <v>3259</v>
      </c>
      <c r="D4034" s="7" t="s">
        <v>3187</v>
      </c>
      <c r="E4034" s="7" t="str">
        <f>"李梦潇"</f>
        <v>李梦潇</v>
      </c>
      <c r="F4034" s="7" t="str">
        <f t="shared" si="856"/>
        <v>女</v>
      </c>
      <c r="G4034" s="7" t="s">
        <v>3275</v>
      </c>
      <c r="H4034" s="8"/>
    </row>
    <row r="4035" ht="25" customHeight="1" spans="1:8">
      <c r="A4035" s="6">
        <v>4033</v>
      </c>
      <c r="B4035" s="7" t="str">
        <f t="shared" si="855"/>
        <v>504</v>
      </c>
      <c r="C4035" s="7" t="s">
        <v>3259</v>
      </c>
      <c r="D4035" s="7" t="s">
        <v>3187</v>
      </c>
      <c r="E4035" s="7" t="str">
        <f>"符婷婷"</f>
        <v>符婷婷</v>
      </c>
      <c r="F4035" s="7" t="str">
        <f t="shared" si="856"/>
        <v>女</v>
      </c>
      <c r="G4035" s="7" t="s">
        <v>3276</v>
      </c>
      <c r="H4035" s="8"/>
    </row>
    <row r="4036" ht="25" customHeight="1" spans="1:8">
      <c r="A4036" s="6">
        <v>4034</v>
      </c>
      <c r="B4036" s="7" t="str">
        <f t="shared" si="855"/>
        <v>504</v>
      </c>
      <c r="C4036" s="7" t="s">
        <v>3259</v>
      </c>
      <c r="D4036" s="7" t="s">
        <v>3187</v>
      </c>
      <c r="E4036" s="7" t="str">
        <f>"闫珂宁"</f>
        <v>闫珂宁</v>
      </c>
      <c r="F4036" s="7" t="str">
        <f t="shared" si="856"/>
        <v>女</v>
      </c>
      <c r="G4036" s="7" t="s">
        <v>3277</v>
      </c>
      <c r="H4036" s="8"/>
    </row>
    <row r="4037" ht="25" customHeight="1" spans="1:8">
      <c r="A4037" s="6">
        <v>4035</v>
      </c>
      <c r="B4037" s="7" t="str">
        <f t="shared" si="855"/>
        <v>504</v>
      </c>
      <c r="C4037" s="7" t="s">
        <v>3259</v>
      </c>
      <c r="D4037" s="7" t="s">
        <v>3187</v>
      </c>
      <c r="E4037" s="7" t="str">
        <f>"卢璐"</f>
        <v>卢璐</v>
      </c>
      <c r="F4037" s="7" t="str">
        <f t="shared" si="856"/>
        <v>女</v>
      </c>
      <c r="G4037" s="7" t="s">
        <v>3278</v>
      </c>
      <c r="H4037" s="8"/>
    </row>
    <row r="4038" ht="25" customHeight="1" spans="1:8">
      <c r="A4038" s="6">
        <v>4036</v>
      </c>
      <c r="B4038" s="7" t="str">
        <f t="shared" si="855"/>
        <v>504</v>
      </c>
      <c r="C4038" s="7" t="s">
        <v>3259</v>
      </c>
      <c r="D4038" s="7" t="s">
        <v>3187</v>
      </c>
      <c r="E4038" s="7" t="str">
        <f>"周欣"</f>
        <v>周欣</v>
      </c>
      <c r="F4038" s="7" t="str">
        <f t="shared" si="856"/>
        <v>女</v>
      </c>
      <c r="G4038" s="7" t="s">
        <v>841</v>
      </c>
      <c r="H4038" s="8"/>
    </row>
    <row r="4039" ht="25" customHeight="1" spans="1:8">
      <c r="A4039" s="6">
        <v>4037</v>
      </c>
      <c r="B4039" s="7" t="str">
        <f t="shared" si="855"/>
        <v>504</v>
      </c>
      <c r="C4039" s="7" t="s">
        <v>3259</v>
      </c>
      <c r="D4039" s="7" t="s">
        <v>3187</v>
      </c>
      <c r="E4039" s="7" t="str">
        <f>"王彩蝶"</f>
        <v>王彩蝶</v>
      </c>
      <c r="F4039" s="7" t="str">
        <f t="shared" si="856"/>
        <v>女</v>
      </c>
      <c r="G4039" s="7" t="s">
        <v>3279</v>
      </c>
      <c r="H4039" s="8"/>
    </row>
    <row r="4040" ht="25" customHeight="1" spans="1:8">
      <c r="A4040" s="6">
        <v>4038</v>
      </c>
      <c r="B4040" s="7" t="str">
        <f t="shared" si="855"/>
        <v>504</v>
      </c>
      <c r="C4040" s="7" t="s">
        <v>3259</v>
      </c>
      <c r="D4040" s="7" t="s">
        <v>3187</v>
      </c>
      <c r="E4040" s="7" t="str">
        <f>"李小雨"</f>
        <v>李小雨</v>
      </c>
      <c r="F4040" s="7" t="str">
        <f t="shared" si="856"/>
        <v>女</v>
      </c>
      <c r="G4040" s="7" t="s">
        <v>376</v>
      </c>
      <c r="H4040" s="8"/>
    </row>
    <row r="4041" ht="25" customHeight="1" spans="1:8">
      <c r="A4041" s="6">
        <v>4039</v>
      </c>
      <c r="B4041" s="7" t="str">
        <f t="shared" si="855"/>
        <v>504</v>
      </c>
      <c r="C4041" s="7" t="s">
        <v>3259</v>
      </c>
      <c r="D4041" s="7" t="s">
        <v>3187</v>
      </c>
      <c r="E4041" s="7" t="str">
        <f>"黎美慧"</f>
        <v>黎美慧</v>
      </c>
      <c r="F4041" s="7" t="str">
        <f t="shared" si="856"/>
        <v>女</v>
      </c>
      <c r="G4041" s="7" t="s">
        <v>3280</v>
      </c>
      <c r="H4041" s="8"/>
    </row>
    <row r="4042" ht="25" customHeight="1" spans="1:8">
      <c r="A4042" s="6">
        <v>4040</v>
      </c>
      <c r="B4042" s="7" t="str">
        <f t="shared" si="855"/>
        <v>504</v>
      </c>
      <c r="C4042" s="7" t="s">
        <v>3259</v>
      </c>
      <c r="D4042" s="7" t="s">
        <v>3187</v>
      </c>
      <c r="E4042" s="7" t="str">
        <f>"陈欣欣"</f>
        <v>陈欣欣</v>
      </c>
      <c r="F4042" s="7" t="str">
        <f t="shared" si="856"/>
        <v>女</v>
      </c>
      <c r="G4042" s="7" t="s">
        <v>1303</v>
      </c>
      <c r="H4042" s="8"/>
    </row>
    <row r="4043" ht="25" customHeight="1" spans="1:8">
      <c r="A4043" s="6">
        <v>4041</v>
      </c>
      <c r="B4043" s="7" t="str">
        <f t="shared" si="855"/>
        <v>504</v>
      </c>
      <c r="C4043" s="7" t="s">
        <v>3259</v>
      </c>
      <c r="D4043" s="7" t="s">
        <v>3187</v>
      </c>
      <c r="E4043" s="7" t="str">
        <f>"时琳"</f>
        <v>时琳</v>
      </c>
      <c r="F4043" s="7" t="str">
        <f t="shared" si="856"/>
        <v>女</v>
      </c>
      <c r="G4043" s="7" t="s">
        <v>3281</v>
      </c>
      <c r="H4043" s="8"/>
    </row>
    <row r="4044" ht="25" customHeight="1" spans="1:8">
      <c r="A4044" s="6">
        <v>4042</v>
      </c>
      <c r="B4044" s="7" t="str">
        <f t="shared" si="855"/>
        <v>504</v>
      </c>
      <c r="C4044" s="7" t="s">
        <v>3259</v>
      </c>
      <c r="D4044" s="7" t="s">
        <v>3187</v>
      </c>
      <c r="E4044" s="7" t="str">
        <f>"林良妹"</f>
        <v>林良妹</v>
      </c>
      <c r="F4044" s="7" t="str">
        <f t="shared" si="856"/>
        <v>女</v>
      </c>
      <c r="G4044" s="7" t="s">
        <v>3282</v>
      </c>
      <c r="H4044" s="8"/>
    </row>
    <row r="4045" ht="25" customHeight="1" spans="1:8">
      <c r="A4045" s="6">
        <v>4043</v>
      </c>
      <c r="B4045" s="7" t="str">
        <f t="shared" si="855"/>
        <v>504</v>
      </c>
      <c r="C4045" s="7" t="s">
        <v>3259</v>
      </c>
      <c r="D4045" s="7" t="s">
        <v>3187</v>
      </c>
      <c r="E4045" s="7" t="str">
        <f>"叶丽妹"</f>
        <v>叶丽妹</v>
      </c>
      <c r="F4045" s="7" t="str">
        <f t="shared" si="856"/>
        <v>女</v>
      </c>
      <c r="G4045" s="7" t="s">
        <v>3283</v>
      </c>
      <c r="H4045" s="8"/>
    </row>
    <row r="4046" ht="25" customHeight="1" spans="1:8">
      <c r="A4046" s="6">
        <v>4044</v>
      </c>
      <c r="B4046" s="7" t="str">
        <f t="shared" si="855"/>
        <v>504</v>
      </c>
      <c r="C4046" s="7" t="s">
        <v>3259</v>
      </c>
      <c r="D4046" s="7" t="s">
        <v>3187</v>
      </c>
      <c r="E4046" s="7" t="str">
        <f>"梁定昆"</f>
        <v>梁定昆</v>
      </c>
      <c r="F4046" s="7" t="str">
        <f t="shared" si="856"/>
        <v>女</v>
      </c>
      <c r="G4046" s="7" t="s">
        <v>3284</v>
      </c>
      <c r="H4046" s="8"/>
    </row>
    <row r="4047" ht="25" customHeight="1" spans="1:8">
      <c r="A4047" s="6">
        <v>4045</v>
      </c>
      <c r="B4047" s="7" t="str">
        <f t="shared" si="855"/>
        <v>504</v>
      </c>
      <c r="C4047" s="7" t="s">
        <v>3259</v>
      </c>
      <c r="D4047" s="7" t="s">
        <v>3187</v>
      </c>
      <c r="E4047" s="7" t="str">
        <f>"徐柔曦"</f>
        <v>徐柔曦</v>
      </c>
      <c r="F4047" s="7" t="str">
        <f t="shared" si="856"/>
        <v>女</v>
      </c>
      <c r="G4047" s="7" t="s">
        <v>1995</v>
      </c>
      <c r="H4047" s="8"/>
    </row>
    <row r="4048" ht="25" customHeight="1" spans="1:8">
      <c r="A4048" s="6">
        <v>4046</v>
      </c>
      <c r="B4048" s="7" t="str">
        <f t="shared" si="855"/>
        <v>504</v>
      </c>
      <c r="C4048" s="7" t="s">
        <v>3259</v>
      </c>
      <c r="D4048" s="7" t="s">
        <v>3187</v>
      </c>
      <c r="E4048" s="7" t="str">
        <f>"许岸莹"</f>
        <v>许岸莹</v>
      </c>
      <c r="F4048" s="7" t="str">
        <f t="shared" si="856"/>
        <v>女</v>
      </c>
      <c r="G4048" s="7" t="s">
        <v>3285</v>
      </c>
      <c r="H4048" s="8"/>
    </row>
    <row r="4049" ht="25" customHeight="1" spans="1:8">
      <c r="A4049" s="6">
        <v>4047</v>
      </c>
      <c r="B4049" s="7" t="str">
        <f t="shared" si="855"/>
        <v>504</v>
      </c>
      <c r="C4049" s="7" t="s">
        <v>3259</v>
      </c>
      <c r="D4049" s="7" t="s">
        <v>3187</v>
      </c>
      <c r="E4049" s="7" t="str">
        <f>"陈孝贞"</f>
        <v>陈孝贞</v>
      </c>
      <c r="F4049" s="7" t="str">
        <f t="shared" ref="F4049:F4054" si="857">"男"</f>
        <v>男</v>
      </c>
      <c r="G4049" s="7" t="s">
        <v>3286</v>
      </c>
      <c r="H4049" s="8"/>
    </row>
    <row r="4050" ht="25" customHeight="1" spans="1:8">
      <c r="A4050" s="6">
        <v>4048</v>
      </c>
      <c r="B4050" s="7" t="str">
        <f t="shared" ref="B4050:B4113" si="858">"505"</f>
        <v>505</v>
      </c>
      <c r="C4050" s="7" t="s">
        <v>3287</v>
      </c>
      <c r="D4050" s="7" t="s">
        <v>3187</v>
      </c>
      <c r="E4050" s="7" t="str">
        <f>"潘丽静"</f>
        <v>潘丽静</v>
      </c>
      <c r="F4050" s="7" t="str">
        <f t="shared" ref="F4050:F4053" si="859">"女"</f>
        <v>女</v>
      </c>
      <c r="G4050" s="7" t="s">
        <v>3288</v>
      </c>
      <c r="H4050" s="8"/>
    </row>
    <row r="4051" ht="25" customHeight="1" spans="1:8">
      <c r="A4051" s="6">
        <v>4049</v>
      </c>
      <c r="B4051" s="7" t="str">
        <f t="shared" si="858"/>
        <v>505</v>
      </c>
      <c r="C4051" s="7" t="s">
        <v>3287</v>
      </c>
      <c r="D4051" s="7" t="s">
        <v>3187</v>
      </c>
      <c r="E4051" s="7" t="str">
        <f>"黄筱景"</f>
        <v>黄筱景</v>
      </c>
      <c r="F4051" s="7" t="str">
        <f t="shared" si="859"/>
        <v>女</v>
      </c>
      <c r="G4051" s="7" t="s">
        <v>3289</v>
      </c>
      <c r="H4051" s="8"/>
    </row>
    <row r="4052" ht="25" customHeight="1" spans="1:8">
      <c r="A4052" s="6">
        <v>4050</v>
      </c>
      <c r="B4052" s="7" t="str">
        <f t="shared" si="858"/>
        <v>505</v>
      </c>
      <c r="C4052" s="7" t="s">
        <v>3287</v>
      </c>
      <c r="D4052" s="7" t="s">
        <v>3187</v>
      </c>
      <c r="E4052" s="7" t="str">
        <f>"洪后迪"</f>
        <v>洪后迪</v>
      </c>
      <c r="F4052" s="7" t="str">
        <f t="shared" si="857"/>
        <v>男</v>
      </c>
      <c r="G4052" s="7" t="s">
        <v>1804</v>
      </c>
      <c r="H4052" s="8"/>
    </row>
    <row r="4053" ht="25" customHeight="1" spans="1:8">
      <c r="A4053" s="6">
        <v>4051</v>
      </c>
      <c r="B4053" s="7" t="str">
        <f t="shared" si="858"/>
        <v>505</v>
      </c>
      <c r="C4053" s="7" t="s">
        <v>3287</v>
      </c>
      <c r="D4053" s="7" t="s">
        <v>3187</v>
      </c>
      <c r="E4053" s="7" t="str">
        <f>"刘婷芳 "</f>
        <v>刘婷芳 </v>
      </c>
      <c r="F4053" s="7" t="str">
        <f t="shared" si="859"/>
        <v>女</v>
      </c>
      <c r="G4053" s="7" t="s">
        <v>3290</v>
      </c>
      <c r="H4053" s="8"/>
    </row>
    <row r="4054" ht="25" customHeight="1" spans="1:8">
      <c r="A4054" s="6">
        <v>4052</v>
      </c>
      <c r="B4054" s="7" t="str">
        <f t="shared" si="858"/>
        <v>505</v>
      </c>
      <c r="C4054" s="7" t="s">
        <v>3287</v>
      </c>
      <c r="D4054" s="7" t="s">
        <v>3187</v>
      </c>
      <c r="E4054" s="7" t="str">
        <f>"龙金鑫"</f>
        <v>龙金鑫</v>
      </c>
      <c r="F4054" s="7" t="str">
        <f t="shared" si="857"/>
        <v>男</v>
      </c>
      <c r="G4054" s="7" t="s">
        <v>3291</v>
      </c>
      <c r="H4054" s="8"/>
    </row>
    <row r="4055" ht="25" customHeight="1" spans="1:8">
      <c r="A4055" s="6">
        <v>4053</v>
      </c>
      <c r="B4055" s="7" t="str">
        <f t="shared" si="858"/>
        <v>505</v>
      </c>
      <c r="C4055" s="7" t="s">
        <v>3287</v>
      </c>
      <c r="D4055" s="7" t="s">
        <v>3187</v>
      </c>
      <c r="E4055" s="7" t="str">
        <f>"强鹤童"</f>
        <v>强鹤童</v>
      </c>
      <c r="F4055" s="7" t="str">
        <f>"女"</f>
        <v>女</v>
      </c>
      <c r="G4055" s="7" t="s">
        <v>3292</v>
      </c>
      <c r="H4055" s="8"/>
    </row>
    <row r="4056" ht="25" customHeight="1" spans="1:8">
      <c r="A4056" s="6">
        <v>4054</v>
      </c>
      <c r="B4056" s="7" t="str">
        <f t="shared" si="858"/>
        <v>505</v>
      </c>
      <c r="C4056" s="7" t="s">
        <v>3287</v>
      </c>
      <c r="D4056" s="7" t="s">
        <v>3187</v>
      </c>
      <c r="E4056" s="7" t="str">
        <f>"冼恩禄"</f>
        <v>冼恩禄</v>
      </c>
      <c r="F4056" s="7" t="str">
        <f t="shared" ref="F4056:F4058" si="860">"男"</f>
        <v>男</v>
      </c>
      <c r="G4056" s="7" t="s">
        <v>3293</v>
      </c>
      <c r="H4056" s="8"/>
    </row>
    <row r="4057" ht="25" customHeight="1" spans="1:8">
      <c r="A4057" s="6">
        <v>4055</v>
      </c>
      <c r="B4057" s="7" t="str">
        <f t="shared" si="858"/>
        <v>505</v>
      </c>
      <c r="C4057" s="7" t="s">
        <v>3287</v>
      </c>
      <c r="D4057" s="7" t="s">
        <v>3187</v>
      </c>
      <c r="E4057" s="7" t="str">
        <f>"靳延魁"</f>
        <v>靳延魁</v>
      </c>
      <c r="F4057" s="7" t="str">
        <f t="shared" si="860"/>
        <v>男</v>
      </c>
      <c r="G4057" s="7" t="s">
        <v>3294</v>
      </c>
      <c r="H4057" s="8"/>
    </row>
    <row r="4058" ht="25" customHeight="1" spans="1:8">
      <c r="A4058" s="6">
        <v>4056</v>
      </c>
      <c r="B4058" s="7" t="str">
        <f t="shared" si="858"/>
        <v>505</v>
      </c>
      <c r="C4058" s="7" t="s">
        <v>3287</v>
      </c>
      <c r="D4058" s="7" t="s">
        <v>3187</v>
      </c>
      <c r="E4058" s="7" t="str">
        <f>"蔡希鹏"</f>
        <v>蔡希鹏</v>
      </c>
      <c r="F4058" s="7" t="str">
        <f t="shared" si="860"/>
        <v>男</v>
      </c>
      <c r="G4058" s="7" t="s">
        <v>3295</v>
      </c>
      <c r="H4058" s="8"/>
    </row>
    <row r="4059" ht="25" customHeight="1" spans="1:8">
      <c r="A4059" s="6">
        <v>4057</v>
      </c>
      <c r="B4059" s="7" t="str">
        <f t="shared" si="858"/>
        <v>505</v>
      </c>
      <c r="C4059" s="7" t="s">
        <v>3287</v>
      </c>
      <c r="D4059" s="7" t="s">
        <v>3187</v>
      </c>
      <c r="E4059" s="7" t="str">
        <f>"郝育钦"</f>
        <v>郝育钦</v>
      </c>
      <c r="F4059" s="7" t="str">
        <f t="shared" ref="F4059:F4063" si="861">"女"</f>
        <v>女</v>
      </c>
      <c r="G4059" s="7" t="s">
        <v>3296</v>
      </c>
      <c r="H4059" s="8"/>
    </row>
    <row r="4060" ht="25" customHeight="1" spans="1:8">
      <c r="A4060" s="6">
        <v>4058</v>
      </c>
      <c r="B4060" s="7" t="str">
        <f t="shared" si="858"/>
        <v>505</v>
      </c>
      <c r="C4060" s="7" t="s">
        <v>3287</v>
      </c>
      <c r="D4060" s="7" t="s">
        <v>3187</v>
      </c>
      <c r="E4060" s="7" t="str">
        <f>"朱星波"</f>
        <v>朱星波</v>
      </c>
      <c r="F4060" s="7" t="str">
        <f t="shared" ref="F4060:F4064" si="862">"男"</f>
        <v>男</v>
      </c>
      <c r="G4060" s="7" t="s">
        <v>3297</v>
      </c>
      <c r="H4060" s="8"/>
    </row>
    <row r="4061" ht="25" customHeight="1" spans="1:8">
      <c r="A4061" s="6">
        <v>4059</v>
      </c>
      <c r="B4061" s="7" t="str">
        <f t="shared" si="858"/>
        <v>505</v>
      </c>
      <c r="C4061" s="7" t="s">
        <v>3287</v>
      </c>
      <c r="D4061" s="7" t="s">
        <v>3187</v>
      </c>
      <c r="E4061" s="7" t="str">
        <f>"陈姑梅"</f>
        <v>陈姑梅</v>
      </c>
      <c r="F4061" s="7" t="str">
        <f t="shared" si="861"/>
        <v>女</v>
      </c>
      <c r="G4061" s="7" t="s">
        <v>790</v>
      </c>
      <c r="H4061" s="8"/>
    </row>
    <row r="4062" ht="25" customHeight="1" spans="1:8">
      <c r="A4062" s="6">
        <v>4060</v>
      </c>
      <c r="B4062" s="7" t="str">
        <f t="shared" si="858"/>
        <v>505</v>
      </c>
      <c r="C4062" s="7" t="s">
        <v>3287</v>
      </c>
      <c r="D4062" s="7" t="s">
        <v>3187</v>
      </c>
      <c r="E4062" s="7" t="str">
        <f>"孙司维"</f>
        <v>孙司维</v>
      </c>
      <c r="F4062" s="7" t="str">
        <f t="shared" si="862"/>
        <v>男</v>
      </c>
      <c r="G4062" s="7" t="s">
        <v>3298</v>
      </c>
      <c r="H4062" s="8"/>
    </row>
    <row r="4063" ht="25" customHeight="1" spans="1:8">
      <c r="A4063" s="6">
        <v>4061</v>
      </c>
      <c r="B4063" s="7" t="str">
        <f t="shared" si="858"/>
        <v>505</v>
      </c>
      <c r="C4063" s="7" t="s">
        <v>3287</v>
      </c>
      <c r="D4063" s="7" t="s">
        <v>3187</v>
      </c>
      <c r="E4063" s="7" t="str">
        <f>"蔡如双"</f>
        <v>蔡如双</v>
      </c>
      <c r="F4063" s="7" t="str">
        <f t="shared" si="861"/>
        <v>女</v>
      </c>
      <c r="G4063" s="7" t="s">
        <v>3299</v>
      </c>
      <c r="H4063" s="8"/>
    </row>
    <row r="4064" ht="25" customHeight="1" spans="1:8">
      <c r="A4064" s="6">
        <v>4062</v>
      </c>
      <c r="B4064" s="7" t="str">
        <f t="shared" si="858"/>
        <v>505</v>
      </c>
      <c r="C4064" s="7" t="s">
        <v>3287</v>
      </c>
      <c r="D4064" s="7" t="s">
        <v>3187</v>
      </c>
      <c r="E4064" s="7" t="str">
        <f>"王俊茗"</f>
        <v>王俊茗</v>
      </c>
      <c r="F4064" s="7" t="str">
        <f t="shared" si="862"/>
        <v>男</v>
      </c>
      <c r="G4064" s="7" t="s">
        <v>1980</v>
      </c>
      <c r="H4064" s="8"/>
    </row>
    <row r="4065" ht="25" customHeight="1" spans="1:8">
      <c r="A4065" s="6">
        <v>4063</v>
      </c>
      <c r="B4065" s="7" t="str">
        <f t="shared" si="858"/>
        <v>505</v>
      </c>
      <c r="C4065" s="7" t="s">
        <v>3287</v>
      </c>
      <c r="D4065" s="7" t="s">
        <v>3187</v>
      </c>
      <c r="E4065" s="7" t="str">
        <f>"符晋瑜"</f>
        <v>符晋瑜</v>
      </c>
      <c r="F4065" s="7" t="str">
        <f t="shared" ref="F4065:F4072" si="863">"女"</f>
        <v>女</v>
      </c>
      <c r="G4065" s="7" t="s">
        <v>2348</v>
      </c>
      <c r="H4065" s="8"/>
    </row>
    <row r="4066" ht="25" customHeight="1" spans="1:8">
      <c r="A4066" s="6">
        <v>4064</v>
      </c>
      <c r="B4066" s="7" t="str">
        <f t="shared" si="858"/>
        <v>505</v>
      </c>
      <c r="C4066" s="7" t="s">
        <v>3287</v>
      </c>
      <c r="D4066" s="7" t="s">
        <v>3187</v>
      </c>
      <c r="E4066" s="7" t="str">
        <f>"黄妹妹"</f>
        <v>黄妹妹</v>
      </c>
      <c r="F4066" s="7" t="str">
        <f t="shared" si="863"/>
        <v>女</v>
      </c>
      <c r="G4066" s="7" t="s">
        <v>3300</v>
      </c>
      <c r="H4066" s="8"/>
    </row>
    <row r="4067" ht="25" customHeight="1" spans="1:8">
      <c r="A4067" s="6">
        <v>4065</v>
      </c>
      <c r="B4067" s="7" t="str">
        <f t="shared" si="858"/>
        <v>505</v>
      </c>
      <c r="C4067" s="7" t="s">
        <v>3287</v>
      </c>
      <c r="D4067" s="7" t="s">
        <v>3187</v>
      </c>
      <c r="E4067" s="7" t="str">
        <f>"郑清霞"</f>
        <v>郑清霞</v>
      </c>
      <c r="F4067" s="7" t="str">
        <f t="shared" si="863"/>
        <v>女</v>
      </c>
      <c r="G4067" s="7" t="s">
        <v>3301</v>
      </c>
      <c r="H4067" s="8"/>
    </row>
    <row r="4068" ht="25" customHeight="1" spans="1:8">
      <c r="A4068" s="6">
        <v>4066</v>
      </c>
      <c r="B4068" s="7" t="str">
        <f t="shared" si="858"/>
        <v>505</v>
      </c>
      <c r="C4068" s="7" t="s">
        <v>3287</v>
      </c>
      <c r="D4068" s="7" t="s">
        <v>3187</v>
      </c>
      <c r="E4068" s="7" t="str">
        <f>"刘慧"</f>
        <v>刘慧</v>
      </c>
      <c r="F4068" s="7" t="str">
        <f t="shared" si="863"/>
        <v>女</v>
      </c>
      <c r="G4068" s="7" t="s">
        <v>3302</v>
      </c>
      <c r="H4068" s="8"/>
    </row>
    <row r="4069" ht="25" customHeight="1" spans="1:8">
      <c r="A4069" s="6">
        <v>4067</v>
      </c>
      <c r="B4069" s="7" t="str">
        <f t="shared" si="858"/>
        <v>505</v>
      </c>
      <c r="C4069" s="7" t="s">
        <v>3287</v>
      </c>
      <c r="D4069" s="7" t="s">
        <v>3187</v>
      </c>
      <c r="E4069" s="7" t="str">
        <f>"李青"</f>
        <v>李青</v>
      </c>
      <c r="F4069" s="7" t="str">
        <f t="shared" si="863"/>
        <v>女</v>
      </c>
      <c r="G4069" s="7" t="s">
        <v>3303</v>
      </c>
      <c r="H4069" s="8"/>
    </row>
    <row r="4070" ht="25" customHeight="1" spans="1:8">
      <c r="A4070" s="6">
        <v>4068</v>
      </c>
      <c r="B4070" s="7" t="str">
        <f t="shared" si="858"/>
        <v>505</v>
      </c>
      <c r="C4070" s="7" t="s">
        <v>3287</v>
      </c>
      <c r="D4070" s="7" t="s">
        <v>3187</v>
      </c>
      <c r="E4070" s="7" t="str">
        <f>"黄颖"</f>
        <v>黄颖</v>
      </c>
      <c r="F4070" s="7" t="str">
        <f t="shared" si="863"/>
        <v>女</v>
      </c>
      <c r="G4070" s="7" t="s">
        <v>3304</v>
      </c>
      <c r="H4070" s="8"/>
    </row>
    <row r="4071" ht="25" customHeight="1" spans="1:8">
      <c r="A4071" s="6">
        <v>4069</v>
      </c>
      <c r="B4071" s="7" t="str">
        <f t="shared" si="858"/>
        <v>505</v>
      </c>
      <c r="C4071" s="7" t="s">
        <v>3287</v>
      </c>
      <c r="D4071" s="7" t="s">
        <v>3187</v>
      </c>
      <c r="E4071" s="7" t="str">
        <f>"彭博"</f>
        <v>彭博</v>
      </c>
      <c r="F4071" s="7" t="str">
        <f t="shared" si="863"/>
        <v>女</v>
      </c>
      <c r="G4071" s="7" t="s">
        <v>3305</v>
      </c>
      <c r="H4071" s="8"/>
    </row>
    <row r="4072" ht="25" customHeight="1" spans="1:8">
      <c r="A4072" s="6">
        <v>4070</v>
      </c>
      <c r="B4072" s="7" t="str">
        <f t="shared" si="858"/>
        <v>505</v>
      </c>
      <c r="C4072" s="7" t="s">
        <v>3287</v>
      </c>
      <c r="D4072" s="7" t="s">
        <v>3187</v>
      </c>
      <c r="E4072" s="7" t="str">
        <f>"黄梓涵"</f>
        <v>黄梓涵</v>
      </c>
      <c r="F4072" s="7" t="str">
        <f t="shared" si="863"/>
        <v>女</v>
      </c>
      <c r="G4072" s="7" t="s">
        <v>3306</v>
      </c>
      <c r="H4072" s="8"/>
    </row>
    <row r="4073" ht="25" customHeight="1" spans="1:8">
      <c r="A4073" s="6">
        <v>4071</v>
      </c>
      <c r="B4073" s="7" t="str">
        <f t="shared" si="858"/>
        <v>505</v>
      </c>
      <c r="C4073" s="7" t="s">
        <v>3287</v>
      </c>
      <c r="D4073" s="7" t="s">
        <v>3187</v>
      </c>
      <c r="E4073" s="7" t="str">
        <f>"康应会"</f>
        <v>康应会</v>
      </c>
      <c r="F4073" s="7" t="str">
        <f t="shared" ref="F4073:F4077" si="864">"男"</f>
        <v>男</v>
      </c>
      <c r="G4073" s="7" t="s">
        <v>3307</v>
      </c>
      <c r="H4073" s="8"/>
    </row>
    <row r="4074" ht="25" customHeight="1" spans="1:8">
      <c r="A4074" s="6">
        <v>4072</v>
      </c>
      <c r="B4074" s="7" t="str">
        <f t="shared" si="858"/>
        <v>505</v>
      </c>
      <c r="C4074" s="7" t="s">
        <v>3287</v>
      </c>
      <c r="D4074" s="7" t="s">
        <v>3187</v>
      </c>
      <c r="E4074" s="7" t="str">
        <f>"陈明丽"</f>
        <v>陈明丽</v>
      </c>
      <c r="F4074" s="7" t="str">
        <f t="shared" ref="F4074:F4087" si="865">"女"</f>
        <v>女</v>
      </c>
      <c r="G4074" s="7" t="s">
        <v>415</v>
      </c>
      <c r="H4074" s="8"/>
    </row>
    <row r="4075" ht="25" customHeight="1" spans="1:8">
      <c r="A4075" s="6">
        <v>4073</v>
      </c>
      <c r="B4075" s="7" t="str">
        <f t="shared" si="858"/>
        <v>505</v>
      </c>
      <c r="C4075" s="7" t="s">
        <v>3287</v>
      </c>
      <c r="D4075" s="7" t="s">
        <v>3187</v>
      </c>
      <c r="E4075" s="7" t="str">
        <f>"赖泽乾"</f>
        <v>赖泽乾</v>
      </c>
      <c r="F4075" s="7" t="str">
        <f t="shared" si="864"/>
        <v>男</v>
      </c>
      <c r="G4075" s="7" t="s">
        <v>3308</v>
      </c>
      <c r="H4075" s="8"/>
    </row>
    <row r="4076" ht="25" customHeight="1" spans="1:8">
      <c r="A4076" s="6">
        <v>4074</v>
      </c>
      <c r="B4076" s="7" t="str">
        <f t="shared" si="858"/>
        <v>505</v>
      </c>
      <c r="C4076" s="7" t="s">
        <v>3287</v>
      </c>
      <c r="D4076" s="7" t="s">
        <v>3187</v>
      </c>
      <c r="E4076" s="7" t="str">
        <f>"李耀"</f>
        <v>李耀</v>
      </c>
      <c r="F4076" s="7" t="str">
        <f t="shared" si="864"/>
        <v>男</v>
      </c>
      <c r="G4076" s="7" t="s">
        <v>3309</v>
      </c>
      <c r="H4076" s="8"/>
    </row>
    <row r="4077" ht="25" customHeight="1" spans="1:8">
      <c r="A4077" s="6">
        <v>4075</v>
      </c>
      <c r="B4077" s="7" t="str">
        <f t="shared" si="858"/>
        <v>505</v>
      </c>
      <c r="C4077" s="7" t="s">
        <v>3287</v>
      </c>
      <c r="D4077" s="7" t="s">
        <v>3187</v>
      </c>
      <c r="E4077" s="7" t="str">
        <f>"杨其轩"</f>
        <v>杨其轩</v>
      </c>
      <c r="F4077" s="7" t="str">
        <f t="shared" si="864"/>
        <v>男</v>
      </c>
      <c r="G4077" s="7" t="s">
        <v>3310</v>
      </c>
      <c r="H4077" s="8"/>
    </row>
    <row r="4078" ht="25" customHeight="1" spans="1:8">
      <c r="A4078" s="6">
        <v>4076</v>
      </c>
      <c r="B4078" s="7" t="str">
        <f t="shared" si="858"/>
        <v>505</v>
      </c>
      <c r="C4078" s="7" t="s">
        <v>3287</v>
      </c>
      <c r="D4078" s="7" t="s">
        <v>3187</v>
      </c>
      <c r="E4078" s="7" t="str">
        <f>"吴佳珂"</f>
        <v>吴佳珂</v>
      </c>
      <c r="F4078" s="7" t="str">
        <f t="shared" si="865"/>
        <v>女</v>
      </c>
      <c r="G4078" s="7" t="s">
        <v>3311</v>
      </c>
      <c r="H4078" s="8"/>
    </row>
    <row r="4079" ht="25" customHeight="1" spans="1:8">
      <c r="A4079" s="6">
        <v>4077</v>
      </c>
      <c r="B4079" s="7" t="str">
        <f t="shared" si="858"/>
        <v>505</v>
      </c>
      <c r="C4079" s="7" t="s">
        <v>3287</v>
      </c>
      <c r="D4079" s="7" t="s">
        <v>3187</v>
      </c>
      <c r="E4079" s="7" t="str">
        <f>"刘艺琳"</f>
        <v>刘艺琳</v>
      </c>
      <c r="F4079" s="7" t="str">
        <f t="shared" si="865"/>
        <v>女</v>
      </c>
      <c r="G4079" s="7" t="s">
        <v>2331</v>
      </c>
      <c r="H4079" s="8"/>
    </row>
    <row r="4080" ht="25" customHeight="1" spans="1:8">
      <c r="A4080" s="6">
        <v>4078</v>
      </c>
      <c r="B4080" s="7" t="str">
        <f t="shared" si="858"/>
        <v>505</v>
      </c>
      <c r="C4080" s="7" t="s">
        <v>3287</v>
      </c>
      <c r="D4080" s="7" t="s">
        <v>3187</v>
      </c>
      <c r="E4080" s="7" t="str">
        <f>"苻海俊"</f>
        <v>苻海俊</v>
      </c>
      <c r="F4080" s="7" t="str">
        <f t="shared" si="865"/>
        <v>女</v>
      </c>
      <c r="G4080" s="7" t="s">
        <v>3312</v>
      </c>
      <c r="H4080" s="8"/>
    </row>
    <row r="4081" ht="25" customHeight="1" spans="1:8">
      <c r="A4081" s="6">
        <v>4079</v>
      </c>
      <c r="B4081" s="7" t="str">
        <f t="shared" si="858"/>
        <v>505</v>
      </c>
      <c r="C4081" s="7" t="s">
        <v>3287</v>
      </c>
      <c r="D4081" s="7" t="s">
        <v>3187</v>
      </c>
      <c r="E4081" s="7" t="str">
        <f>"蔡慧"</f>
        <v>蔡慧</v>
      </c>
      <c r="F4081" s="7" t="str">
        <f t="shared" si="865"/>
        <v>女</v>
      </c>
      <c r="G4081" s="7" t="s">
        <v>3313</v>
      </c>
      <c r="H4081" s="8"/>
    </row>
    <row r="4082" ht="25" customHeight="1" spans="1:8">
      <c r="A4082" s="6">
        <v>4080</v>
      </c>
      <c r="B4082" s="7" t="str">
        <f t="shared" si="858"/>
        <v>505</v>
      </c>
      <c r="C4082" s="7" t="s">
        <v>3287</v>
      </c>
      <c r="D4082" s="7" t="s">
        <v>3187</v>
      </c>
      <c r="E4082" s="7" t="str">
        <f>"王丽"</f>
        <v>王丽</v>
      </c>
      <c r="F4082" s="7" t="str">
        <f t="shared" si="865"/>
        <v>女</v>
      </c>
      <c r="G4082" s="7" t="s">
        <v>3314</v>
      </c>
      <c r="H4082" s="8"/>
    </row>
    <row r="4083" ht="25" customHeight="1" spans="1:8">
      <c r="A4083" s="6">
        <v>4081</v>
      </c>
      <c r="B4083" s="7" t="str">
        <f t="shared" si="858"/>
        <v>505</v>
      </c>
      <c r="C4083" s="7" t="s">
        <v>3287</v>
      </c>
      <c r="D4083" s="7" t="s">
        <v>3187</v>
      </c>
      <c r="E4083" s="7" t="str">
        <f>"李秋红"</f>
        <v>李秋红</v>
      </c>
      <c r="F4083" s="7" t="str">
        <f t="shared" si="865"/>
        <v>女</v>
      </c>
      <c r="G4083" s="7" t="s">
        <v>3315</v>
      </c>
      <c r="H4083" s="8"/>
    </row>
    <row r="4084" ht="25" customHeight="1" spans="1:8">
      <c r="A4084" s="6">
        <v>4082</v>
      </c>
      <c r="B4084" s="7" t="str">
        <f t="shared" si="858"/>
        <v>505</v>
      </c>
      <c r="C4084" s="7" t="s">
        <v>3287</v>
      </c>
      <c r="D4084" s="7" t="s">
        <v>3187</v>
      </c>
      <c r="E4084" s="7" t="str">
        <f>"李碧君"</f>
        <v>李碧君</v>
      </c>
      <c r="F4084" s="7" t="str">
        <f t="shared" si="865"/>
        <v>女</v>
      </c>
      <c r="G4084" s="7" t="s">
        <v>3316</v>
      </c>
      <c r="H4084" s="8"/>
    </row>
    <row r="4085" ht="25" customHeight="1" spans="1:8">
      <c r="A4085" s="6">
        <v>4083</v>
      </c>
      <c r="B4085" s="7" t="str">
        <f t="shared" si="858"/>
        <v>505</v>
      </c>
      <c r="C4085" s="7" t="s">
        <v>3287</v>
      </c>
      <c r="D4085" s="7" t="s">
        <v>3187</v>
      </c>
      <c r="E4085" s="7" t="str">
        <f>"傅诗淇"</f>
        <v>傅诗淇</v>
      </c>
      <c r="F4085" s="7" t="str">
        <f t="shared" si="865"/>
        <v>女</v>
      </c>
      <c r="G4085" s="7" t="s">
        <v>3317</v>
      </c>
      <c r="H4085" s="8"/>
    </row>
    <row r="4086" ht="25" customHeight="1" spans="1:8">
      <c r="A4086" s="6">
        <v>4084</v>
      </c>
      <c r="B4086" s="7" t="str">
        <f t="shared" si="858"/>
        <v>505</v>
      </c>
      <c r="C4086" s="7" t="s">
        <v>3287</v>
      </c>
      <c r="D4086" s="7" t="s">
        <v>3187</v>
      </c>
      <c r="E4086" s="7" t="str">
        <f>"张伟香"</f>
        <v>张伟香</v>
      </c>
      <c r="F4086" s="7" t="str">
        <f t="shared" si="865"/>
        <v>女</v>
      </c>
      <c r="G4086" s="7" t="s">
        <v>3318</v>
      </c>
      <c r="H4086" s="8"/>
    </row>
    <row r="4087" ht="25" customHeight="1" spans="1:8">
      <c r="A4087" s="6">
        <v>4085</v>
      </c>
      <c r="B4087" s="7" t="str">
        <f t="shared" si="858"/>
        <v>505</v>
      </c>
      <c r="C4087" s="7" t="s">
        <v>3287</v>
      </c>
      <c r="D4087" s="7" t="s">
        <v>3187</v>
      </c>
      <c r="E4087" s="7" t="str">
        <f>"莫小米"</f>
        <v>莫小米</v>
      </c>
      <c r="F4087" s="7" t="str">
        <f t="shared" si="865"/>
        <v>女</v>
      </c>
      <c r="G4087" s="7" t="s">
        <v>3319</v>
      </c>
      <c r="H4087" s="8"/>
    </row>
    <row r="4088" ht="25" customHeight="1" spans="1:8">
      <c r="A4088" s="6">
        <v>4086</v>
      </c>
      <c r="B4088" s="7" t="str">
        <f t="shared" si="858"/>
        <v>505</v>
      </c>
      <c r="C4088" s="7" t="s">
        <v>3287</v>
      </c>
      <c r="D4088" s="7" t="s">
        <v>3187</v>
      </c>
      <c r="E4088" s="7" t="str">
        <f>"罗安迪"</f>
        <v>罗安迪</v>
      </c>
      <c r="F4088" s="7" t="str">
        <f>"男"</f>
        <v>男</v>
      </c>
      <c r="G4088" s="7" t="s">
        <v>3320</v>
      </c>
      <c r="H4088" s="8"/>
    </row>
    <row r="4089" ht="25" customHeight="1" spans="1:8">
      <c r="A4089" s="6">
        <v>4087</v>
      </c>
      <c r="B4089" s="7" t="str">
        <f t="shared" si="858"/>
        <v>505</v>
      </c>
      <c r="C4089" s="7" t="s">
        <v>3287</v>
      </c>
      <c r="D4089" s="7" t="s">
        <v>3187</v>
      </c>
      <c r="E4089" s="7" t="str">
        <f>"王茹静"</f>
        <v>王茹静</v>
      </c>
      <c r="F4089" s="7" t="str">
        <f t="shared" ref="F4089:F4100" si="866">"女"</f>
        <v>女</v>
      </c>
      <c r="G4089" s="7" t="s">
        <v>480</v>
      </c>
      <c r="H4089" s="8"/>
    </row>
    <row r="4090" ht="25" customHeight="1" spans="1:8">
      <c r="A4090" s="6">
        <v>4088</v>
      </c>
      <c r="B4090" s="7" t="str">
        <f t="shared" si="858"/>
        <v>505</v>
      </c>
      <c r="C4090" s="7" t="s">
        <v>3287</v>
      </c>
      <c r="D4090" s="7" t="s">
        <v>3187</v>
      </c>
      <c r="E4090" s="7" t="str">
        <f>"唐红叶"</f>
        <v>唐红叶</v>
      </c>
      <c r="F4090" s="7" t="str">
        <f t="shared" si="866"/>
        <v>女</v>
      </c>
      <c r="G4090" s="7" t="s">
        <v>3321</v>
      </c>
      <c r="H4090" s="8"/>
    </row>
    <row r="4091" ht="25" customHeight="1" spans="1:8">
      <c r="A4091" s="6">
        <v>4089</v>
      </c>
      <c r="B4091" s="7" t="str">
        <f t="shared" si="858"/>
        <v>505</v>
      </c>
      <c r="C4091" s="7" t="s">
        <v>3287</v>
      </c>
      <c r="D4091" s="7" t="s">
        <v>3187</v>
      </c>
      <c r="E4091" s="7" t="str">
        <f>"高漪璇"</f>
        <v>高漪璇</v>
      </c>
      <c r="F4091" s="7" t="str">
        <f t="shared" si="866"/>
        <v>女</v>
      </c>
      <c r="G4091" s="7" t="s">
        <v>3322</v>
      </c>
      <c r="H4091" s="8"/>
    </row>
    <row r="4092" ht="25" customHeight="1" spans="1:8">
      <c r="A4092" s="6">
        <v>4090</v>
      </c>
      <c r="B4092" s="7" t="str">
        <f t="shared" si="858"/>
        <v>505</v>
      </c>
      <c r="C4092" s="7" t="s">
        <v>3287</v>
      </c>
      <c r="D4092" s="7" t="s">
        <v>3187</v>
      </c>
      <c r="E4092" s="7" t="str">
        <f>"王楠"</f>
        <v>王楠</v>
      </c>
      <c r="F4092" s="7" t="str">
        <f t="shared" si="866"/>
        <v>女</v>
      </c>
      <c r="G4092" s="7" t="s">
        <v>3323</v>
      </c>
      <c r="H4092" s="8"/>
    </row>
    <row r="4093" ht="25" customHeight="1" spans="1:8">
      <c r="A4093" s="6">
        <v>4091</v>
      </c>
      <c r="B4093" s="7" t="str">
        <f t="shared" si="858"/>
        <v>505</v>
      </c>
      <c r="C4093" s="7" t="s">
        <v>3287</v>
      </c>
      <c r="D4093" s="7" t="s">
        <v>3187</v>
      </c>
      <c r="E4093" s="7" t="str">
        <f>"黄绮云"</f>
        <v>黄绮云</v>
      </c>
      <c r="F4093" s="7" t="str">
        <f t="shared" si="866"/>
        <v>女</v>
      </c>
      <c r="G4093" s="7" t="s">
        <v>3324</v>
      </c>
      <c r="H4093" s="8"/>
    </row>
    <row r="4094" ht="25" customHeight="1" spans="1:8">
      <c r="A4094" s="6">
        <v>4092</v>
      </c>
      <c r="B4094" s="7" t="str">
        <f t="shared" si="858"/>
        <v>505</v>
      </c>
      <c r="C4094" s="7" t="s">
        <v>3287</v>
      </c>
      <c r="D4094" s="7" t="s">
        <v>3187</v>
      </c>
      <c r="E4094" s="7" t="str">
        <f>"王苏睿"</f>
        <v>王苏睿</v>
      </c>
      <c r="F4094" s="7" t="str">
        <f t="shared" si="866"/>
        <v>女</v>
      </c>
      <c r="G4094" s="7" t="s">
        <v>3325</v>
      </c>
      <c r="H4094" s="8"/>
    </row>
    <row r="4095" ht="25" customHeight="1" spans="1:8">
      <c r="A4095" s="6">
        <v>4093</v>
      </c>
      <c r="B4095" s="7" t="str">
        <f t="shared" si="858"/>
        <v>505</v>
      </c>
      <c r="C4095" s="7" t="s">
        <v>3287</v>
      </c>
      <c r="D4095" s="7" t="s">
        <v>3187</v>
      </c>
      <c r="E4095" s="7" t="str">
        <f>"郑秋"</f>
        <v>郑秋</v>
      </c>
      <c r="F4095" s="7" t="str">
        <f t="shared" si="866"/>
        <v>女</v>
      </c>
      <c r="G4095" s="7" t="s">
        <v>345</v>
      </c>
      <c r="H4095" s="8"/>
    </row>
    <row r="4096" ht="25" customHeight="1" spans="1:8">
      <c r="A4096" s="6">
        <v>4094</v>
      </c>
      <c r="B4096" s="7" t="str">
        <f t="shared" si="858"/>
        <v>505</v>
      </c>
      <c r="C4096" s="7" t="s">
        <v>3287</v>
      </c>
      <c r="D4096" s="7" t="s">
        <v>3187</v>
      </c>
      <c r="E4096" s="7" t="str">
        <f>"刘菲儿"</f>
        <v>刘菲儿</v>
      </c>
      <c r="F4096" s="7" t="str">
        <f t="shared" si="866"/>
        <v>女</v>
      </c>
      <c r="G4096" s="7" t="s">
        <v>3326</v>
      </c>
      <c r="H4096" s="8"/>
    </row>
    <row r="4097" ht="25" customHeight="1" spans="1:8">
      <c r="A4097" s="6">
        <v>4095</v>
      </c>
      <c r="B4097" s="7" t="str">
        <f t="shared" si="858"/>
        <v>505</v>
      </c>
      <c r="C4097" s="7" t="s">
        <v>3287</v>
      </c>
      <c r="D4097" s="7" t="s">
        <v>3187</v>
      </c>
      <c r="E4097" s="7" t="str">
        <f>"陈蕾"</f>
        <v>陈蕾</v>
      </c>
      <c r="F4097" s="7" t="str">
        <f t="shared" si="866"/>
        <v>女</v>
      </c>
      <c r="G4097" s="7" t="s">
        <v>665</v>
      </c>
      <c r="H4097" s="8"/>
    </row>
    <row r="4098" ht="25" customHeight="1" spans="1:8">
      <c r="A4098" s="6">
        <v>4096</v>
      </c>
      <c r="B4098" s="7" t="str">
        <f t="shared" si="858"/>
        <v>505</v>
      </c>
      <c r="C4098" s="7" t="s">
        <v>3287</v>
      </c>
      <c r="D4098" s="7" t="s">
        <v>3187</v>
      </c>
      <c r="E4098" s="7" t="str">
        <f>"初萌"</f>
        <v>初萌</v>
      </c>
      <c r="F4098" s="7" t="str">
        <f t="shared" si="866"/>
        <v>女</v>
      </c>
      <c r="G4098" s="7" t="s">
        <v>3327</v>
      </c>
      <c r="H4098" s="8"/>
    </row>
    <row r="4099" ht="25" customHeight="1" spans="1:8">
      <c r="A4099" s="6">
        <v>4097</v>
      </c>
      <c r="B4099" s="7" t="str">
        <f t="shared" si="858"/>
        <v>505</v>
      </c>
      <c r="C4099" s="7" t="s">
        <v>3287</v>
      </c>
      <c r="D4099" s="7" t="s">
        <v>3187</v>
      </c>
      <c r="E4099" s="7" t="str">
        <f>"唐钰芳"</f>
        <v>唐钰芳</v>
      </c>
      <c r="F4099" s="7" t="str">
        <f t="shared" si="866"/>
        <v>女</v>
      </c>
      <c r="G4099" s="7" t="s">
        <v>3328</v>
      </c>
      <c r="H4099" s="8"/>
    </row>
    <row r="4100" ht="25" customHeight="1" spans="1:8">
      <c r="A4100" s="6">
        <v>4098</v>
      </c>
      <c r="B4100" s="7" t="str">
        <f t="shared" si="858"/>
        <v>505</v>
      </c>
      <c r="C4100" s="7" t="s">
        <v>3287</v>
      </c>
      <c r="D4100" s="7" t="s">
        <v>3187</v>
      </c>
      <c r="E4100" s="7" t="str">
        <f>"罗植桂"</f>
        <v>罗植桂</v>
      </c>
      <c r="F4100" s="7" t="str">
        <f t="shared" si="866"/>
        <v>女</v>
      </c>
      <c r="G4100" s="7" t="s">
        <v>2097</v>
      </c>
      <c r="H4100" s="8"/>
    </row>
    <row r="4101" ht="25" customHeight="1" spans="1:8">
      <c r="A4101" s="6">
        <v>4099</v>
      </c>
      <c r="B4101" s="7" t="str">
        <f t="shared" si="858"/>
        <v>505</v>
      </c>
      <c r="C4101" s="7" t="s">
        <v>3287</v>
      </c>
      <c r="D4101" s="7" t="s">
        <v>3187</v>
      </c>
      <c r="E4101" s="7" t="str">
        <f>"李美飞"</f>
        <v>李美飞</v>
      </c>
      <c r="F4101" s="7" t="str">
        <f>"男"</f>
        <v>男</v>
      </c>
      <c r="G4101" s="7" t="s">
        <v>3329</v>
      </c>
      <c r="H4101" s="8"/>
    </row>
    <row r="4102" ht="25" customHeight="1" spans="1:8">
      <c r="A4102" s="6">
        <v>4100</v>
      </c>
      <c r="B4102" s="7" t="str">
        <f t="shared" si="858"/>
        <v>505</v>
      </c>
      <c r="C4102" s="7" t="s">
        <v>3287</v>
      </c>
      <c r="D4102" s="7" t="s">
        <v>3187</v>
      </c>
      <c r="E4102" s="7" t="str">
        <f>"赵蕾"</f>
        <v>赵蕾</v>
      </c>
      <c r="F4102" s="7" t="str">
        <f t="shared" ref="F4102:F4106" si="867">"女"</f>
        <v>女</v>
      </c>
      <c r="G4102" s="7" t="s">
        <v>3330</v>
      </c>
      <c r="H4102" s="8"/>
    </row>
    <row r="4103" ht="25" customHeight="1" spans="1:8">
      <c r="A4103" s="6">
        <v>4101</v>
      </c>
      <c r="B4103" s="7" t="str">
        <f t="shared" si="858"/>
        <v>505</v>
      </c>
      <c r="C4103" s="7" t="s">
        <v>3287</v>
      </c>
      <c r="D4103" s="7" t="s">
        <v>3187</v>
      </c>
      <c r="E4103" s="7" t="str">
        <f>"梁婉颖"</f>
        <v>梁婉颖</v>
      </c>
      <c r="F4103" s="7" t="str">
        <f t="shared" si="867"/>
        <v>女</v>
      </c>
      <c r="G4103" s="7" t="s">
        <v>1714</v>
      </c>
      <c r="H4103" s="8"/>
    </row>
    <row r="4104" ht="25" customHeight="1" spans="1:8">
      <c r="A4104" s="6">
        <v>4102</v>
      </c>
      <c r="B4104" s="7" t="str">
        <f t="shared" si="858"/>
        <v>505</v>
      </c>
      <c r="C4104" s="7" t="s">
        <v>3287</v>
      </c>
      <c r="D4104" s="7" t="s">
        <v>3187</v>
      </c>
      <c r="E4104" s="7" t="str">
        <f>"冼培伟"</f>
        <v>冼培伟</v>
      </c>
      <c r="F4104" s="7" t="str">
        <f t="shared" ref="F4104:F4109" si="868">"男"</f>
        <v>男</v>
      </c>
      <c r="G4104" s="7" t="s">
        <v>3331</v>
      </c>
      <c r="H4104" s="8"/>
    </row>
    <row r="4105" ht="25" customHeight="1" spans="1:8">
      <c r="A4105" s="6">
        <v>4103</v>
      </c>
      <c r="B4105" s="7" t="str">
        <f t="shared" si="858"/>
        <v>505</v>
      </c>
      <c r="C4105" s="7" t="s">
        <v>3287</v>
      </c>
      <c r="D4105" s="7" t="s">
        <v>3187</v>
      </c>
      <c r="E4105" s="7" t="str">
        <f>"张雲惠"</f>
        <v>张雲惠</v>
      </c>
      <c r="F4105" s="7" t="str">
        <f t="shared" si="867"/>
        <v>女</v>
      </c>
      <c r="G4105" s="7" t="s">
        <v>3332</v>
      </c>
      <c r="H4105" s="8"/>
    </row>
    <row r="4106" ht="25" customHeight="1" spans="1:8">
      <c r="A4106" s="6">
        <v>4104</v>
      </c>
      <c r="B4106" s="7" t="str">
        <f t="shared" si="858"/>
        <v>505</v>
      </c>
      <c r="C4106" s="7" t="s">
        <v>3287</v>
      </c>
      <c r="D4106" s="7" t="s">
        <v>3187</v>
      </c>
      <c r="E4106" s="7" t="str">
        <f>"梁江娸"</f>
        <v>梁江娸</v>
      </c>
      <c r="F4106" s="7" t="str">
        <f t="shared" si="867"/>
        <v>女</v>
      </c>
      <c r="G4106" s="7" t="s">
        <v>1167</v>
      </c>
      <c r="H4106" s="8"/>
    </row>
    <row r="4107" ht="25" customHeight="1" spans="1:8">
      <c r="A4107" s="6">
        <v>4105</v>
      </c>
      <c r="B4107" s="7" t="str">
        <f t="shared" si="858"/>
        <v>505</v>
      </c>
      <c r="C4107" s="7" t="s">
        <v>3287</v>
      </c>
      <c r="D4107" s="7" t="s">
        <v>3187</v>
      </c>
      <c r="E4107" s="7" t="str">
        <f>"马超业"</f>
        <v>马超业</v>
      </c>
      <c r="F4107" s="7" t="str">
        <f t="shared" si="868"/>
        <v>男</v>
      </c>
      <c r="G4107" s="7" t="s">
        <v>3333</v>
      </c>
      <c r="H4107" s="8"/>
    </row>
    <row r="4108" ht="25" customHeight="1" spans="1:8">
      <c r="A4108" s="6">
        <v>4106</v>
      </c>
      <c r="B4108" s="7" t="str">
        <f t="shared" si="858"/>
        <v>505</v>
      </c>
      <c r="C4108" s="7" t="s">
        <v>3287</v>
      </c>
      <c r="D4108" s="7" t="s">
        <v>3187</v>
      </c>
      <c r="E4108" s="7" t="str">
        <f>"谭邦雪"</f>
        <v>谭邦雪</v>
      </c>
      <c r="F4108" s="7" t="str">
        <f t="shared" ref="F4108:F4114" si="869">"女"</f>
        <v>女</v>
      </c>
      <c r="G4108" s="7" t="s">
        <v>3334</v>
      </c>
      <c r="H4108" s="8"/>
    </row>
    <row r="4109" ht="25" customHeight="1" spans="1:8">
      <c r="A4109" s="6">
        <v>4107</v>
      </c>
      <c r="B4109" s="7" t="str">
        <f t="shared" si="858"/>
        <v>505</v>
      </c>
      <c r="C4109" s="7" t="s">
        <v>3287</v>
      </c>
      <c r="D4109" s="7" t="s">
        <v>3187</v>
      </c>
      <c r="E4109" s="7" t="str">
        <f>" 关孙敏                          "</f>
        <v> 关孙敏                          </v>
      </c>
      <c r="F4109" s="7" t="str">
        <f t="shared" si="868"/>
        <v>男</v>
      </c>
      <c r="G4109" s="7" t="s">
        <v>3335</v>
      </c>
      <c r="H4109" s="8"/>
    </row>
    <row r="4110" ht="25" customHeight="1" spans="1:8">
      <c r="A4110" s="6">
        <v>4108</v>
      </c>
      <c r="B4110" s="7" t="str">
        <f t="shared" si="858"/>
        <v>505</v>
      </c>
      <c r="C4110" s="7" t="s">
        <v>3287</v>
      </c>
      <c r="D4110" s="7" t="s">
        <v>3187</v>
      </c>
      <c r="E4110" s="7" t="str">
        <f>"肖潇"</f>
        <v>肖潇</v>
      </c>
      <c r="F4110" s="7" t="str">
        <f t="shared" si="869"/>
        <v>女</v>
      </c>
      <c r="G4110" s="7" t="s">
        <v>3336</v>
      </c>
      <c r="H4110" s="8"/>
    </row>
    <row r="4111" ht="25" customHeight="1" spans="1:8">
      <c r="A4111" s="6">
        <v>4109</v>
      </c>
      <c r="B4111" s="7" t="str">
        <f t="shared" si="858"/>
        <v>505</v>
      </c>
      <c r="C4111" s="7" t="s">
        <v>3287</v>
      </c>
      <c r="D4111" s="7" t="s">
        <v>3187</v>
      </c>
      <c r="E4111" s="7" t="str">
        <f>"李媛媛"</f>
        <v>李媛媛</v>
      </c>
      <c r="F4111" s="7" t="str">
        <f t="shared" si="869"/>
        <v>女</v>
      </c>
      <c r="G4111" s="7" t="s">
        <v>3337</v>
      </c>
      <c r="H4111" s="8"/>
    </row>
    <row r="4112" ht="25" customHeight="1" spans="1:8">
      <c r="A4112" s="6">
        <v>4110</v>
      </c>
      <c r="B4112" s="7" t="str">
        <f t="shared" si="858"/>
        <v>505</v>
      </c>
      <c r="C4112" s="7" t="s">
        <v>3287</v>
      </c>
      <c r="D4112" s="7" t="s">
        <v>3187</v>
      </c>
      <c r="E4112" s="7" t="str">
        <f>"胡蓓芮"</f>
        <v>胡蓓芮</v>
      </c>
      <c r="F4112" s="7" t="str">
        <f t="shared" si="869"/>
        <v>女</v>
      </c>
      <c r="G4112" s="7" t="s">
        <v>3338</v>
      </c>
      <c r="H4112" s="8"/>
    </row>
    <row r="4113" ht="25" customHeight="1" spans="1:8">
      <c r="A4113" s="6">
        <v>4111</v>
      </c>
      <c r="B4113" s="7" t="str">
        <f t="shared" si="858"/>
        <v>505</v>
      </c>
      <c r="C4113" s="7" t="s">
        <v>3287</v>
      </c>
      <c r="D4113" s="7" t="s">
        <v>3187</v>
      </c>
      <c r="E4113" s="7" t="str">
        <f>"魏羽含"</f>
        <v>魏羽含</v>
      </c>
      <c r="F4113" s="7" t="str">
        <f t="shared" si="869"/>
        <v>女</v>
      </c>
      <c r="G4113" s="7" t="s">
        <v>3339</v>
      </c>
      <c r="H4113" s="8"/>
    </row>
    <row r="4114" ht="25" customHeight="1" spans="1:8">
      <c r="A4114" s="6">
        <v>4112</v>
      </c>
      <c r="B4114" s="7" t="str">
        <f t="shared" ref="B4114:B4131" si="870">"505"</f>
        <v>505</v>
      </c>
      <c r="C4114" s="7" t="s">
        <v>3287</v>
      </c>
      <c r="D4114" s="7" t="s">
        <v>3187</v>
      </c>
      <c r="E4114" s="7" t="str">
        <f>"钟清悦"</f>
        <v>钟清悦</v>
      </c>
      <c r="F4114" s="7" t="str">
        <f t="shared" si="869"/>
        <v>女</v>
      </c>
      <c r="G4114" s="7" t="s">
        <v>3340</v>
      </c>
      <c r="H4114" s="8"/>
    </row>
    <row r="4115" ht="25" customHeight="1" spans="1:8">
      <c r="A4115" s="6">
        <v>4113</v>
      </c>
      <c r="B4115" s="7" t="str">
        <f t="shared" si="870"/>
        <v>505</v>
      </c>
      <c r="C4115" s="7" t="s">
        <v>3287</v>
      </c>
      <c r="D4115" s="7" t="s">
        <v>3187</v>
      </c>
      <c r="E4115" s="7" t="str">
        <f>"赵伟 "</f>
        <v>赵伟 </v>
      </c>
      <c r="F4115" s="7" t="str">
        <f>"男"</f>
        <v>男</v>
      </c>
      <c r="G4115" s="7" t="s">
        <v>3341</v>
      </c>
      <c r="H4115" s="8"/>
    </row>
    <row r="4116" ht="25" customHeight="1" spans="1:8">
      <c r="A4116" s="6">
        <v>4114</v>
      </c>
      <c r="B4116" s="7" t="str">
        <f t="shared" si="870"/>
        <v>505</v>
      </c>
      <c r="C4116" s="7" t="s">
        <v>3287</v>
      </c>
      <c r="D4116" s="7" t="s">
        <v>3187</v>
      </c>
      <c r="E4116" s="7" t="str">
        <f>"麦晶瑶"</f>
        <v>麦晶瑶</v>
      </c>
      <c r="F4116" s="7" t="str">
        <f t="shared" ref="F4116:F4125" si="871">"女"</f>
        <v>女</v>
      </c>
      <c r="G4116" s="7" t="s">
        <v>3342</v>
      </c>
      <c r="H4116" s="8"/>
    </row>
    <row r="4117" ht="25" customHeight="1" spans="1:8">
      <c r="A4117" s="6">
        <v>4115</v>
      </c>
      <c r="B4117" s="7" t="str">
        <f t="shared" si="870"/>
        <v>505</v>
      </c>
      <c r="C4117" s="7" t="s">
        <v>3287</v>
      </c>
      <c r="D4117" s="7" t="s">
        <v>3187</v>
      </c>
      <c r="E4117" s="7" t="str">
        <f>"梁月露"</f>
        <v>梁月露</v>
      </c>
      <c r="F4117" s="7" t="str">
        <f t="shared" si="871"/>
        <v>女</v>
      </c>
      <c r="G4117" s="7" t="s">
        <v>3343</v>
      </c>
      <c r="H4117" s="8"/>
    </row>
    <row r="4118" ht="25" customHeight="1" spans="1:8">
      <c r="A4118" s="6">
        <v>4116</v>
      </c>
      <c r="B4118" s="7" t="str">
        <f t="shared" si="870"/>
        <v>505</v>
      </c>
      <c r="C4118" s="7" t="s">
        <v>3287</v>
      </c>
      <c r="D4118" s="7" t="s">
        <v>3187</v>
      </c>
      <c r="E4118" s="7" t="str">
        <f>"王晓"</f>
        <v>王晓</v>
      </c>
      <c r="F4118" s="7" t="str">
        <f t="shared" si="871"/>
        <v>女</v>
      </c>
      <c r="G4118" s="7" t="s">
        <v>3344</v>
      </c>
      <c r="H4118" s="8"/>
    </row>
    <row r="4119" ht="25" customHeight="1" spans="1:8">
      <c r="A4119" s="6">
        <v>4117</v>
      </c>
      <c r="B4119" s="7" t="str">
        <f t="shared" si="870"/>
        <v>505</v>
      </c>
      <c r="C4119" s="7" t="s">
        <v>3287</v>
      </c>
      <c r="D4119" s="7" t="s">
        <v>3187</v>
      </c>
      <c r="E4119" s="7" t="str">
        <f>"童慧吟"</f>
        <v>童慧吟</v>
      </c>
      <c r="F4119" s="7" t="str">
        <f t="shared" si="871"/>
        <v>女</v>
      </c>
      <c r="G4119" s="7" t="s">
        <v>3345</v>
      </c>
      <c r="H4119" s="8"/>
    </row>
    <row r="4120" ht="25" customHeight="1" spans="1:8">
      <c r="A4120" s="6">
        <v>4118</v>
      </c>
      <c r="B4120" s="7" t="str">
        <f t="shared" si="870"/>
        <v>505</v>
      </c>
      <c r="C4120" s="7" t="s">
        <v>3287</v>
      </c>
      <c r="D4120" s="7" t="s">
        <v>3187</v>
      </c>
      <c r="E4120" s="7" t="str">
        <f>"马源"</f>
        <v>马源</v>
      </c>
      <c r="F4120" s="7" t="str">
        <f t="shared" si="871"/>
        <v>女</v>
      </c>
      <c r="G4120" s="7" t="s">
        <v>3346</v>
      </c>
      <c r="H4120" s="8"/>
    </row>
    <row r="4121" ht="25" customHeight="1" spans="1:8">
      <c r="A4121" s="6">
        <v>4119</v>
      </c>
      <c r="B4121" s="7" t="str">
        <f t="shared" si="870"/>
        <v>505</v>
      </c>
      <c r="C4121" s="7" t="s">
        <v>3287</v>
      </c>
      <c r="D4121" s="7" t="s">
        <v>3187</v>
      </c>
      <c r="E4121" s="7" t="str">
        <f>"冯晓丽"</f>
        <v>冯晓丽</v>
      </c>
      <c r="F4121" s="7" t="str">
        <f t="shared" si="871"/>
        <v>女</v>
      </c>
      <c r="G4121" s="7" t="s">
        <v>3347</v>
      </c>
      <c r="H4121" s="8"/>
    </row>
    <row r="4122" ht="25" customHeight="1" spans="1:8">
      <c r="A4122" s="6">
        <v>4120</v>
      </c>
      <c r="B4122" s="7" t="str">
        <f t="shared" si="870"/>
        <v>505</v>
      </c>
      <c r="C4122" s="7" t="s">
        <v>3287</v>
      </c>
      <c r="D4122" s="7" t="s">
        <v>3187</v>
      </c>
      <c r="E4122" s="7" t="str">
        <f>"郭子漪"</f>
        <v>郭子漪</v>
      </c>
      <c r="F4122" s="7" t="str">
        <f t="shared" si="871"/>
        <v>女</v>
      </c>
      <c r="G4122" s="7" t="s">
        <v>3348</v>
      </c>
      <c r="H4122" s="8"/>
    </row>
    <row r="4123" ht="25" customHeight="1" spans="1:8">
      <c r="A4123" s="6">
        <v>4121</v>
      </c>
      <c r="B4123" s="7" t="str">
        <f t="shared" si="870"/>
        <v>505</v>
      </c>
      <c r="C4123" s="7" t="s">
        <v>3287</v>
      </c>
      <c r="D4123" s="7" t="s">
        <v>3187</v>
      </c>
      <c r="E4123" s="7" t="str">
        <f>"陈晗"</f>
        <v>陈晗</v>
      </c>
      <c r="F4123" s="7" t="str">
        <f t="shared" si="871"/>
        <v>女</v>
      </c>
      <c r="G4123" s="7" t="s">
        <v>3349</v>
      </c>
      <c r="H4123" s="8"/>
    </row>
    <row r="4124" ht="25" customHeight="1" spans="1:8">
      <c r="A4124" s="6">
        <v>4122</v>
      </c>
      <c r="B4124" s="7" t="str">
        <f t="shared" si="870"/>
        <v>505</v>
      </c>
      <c r="C4124" s="7" t="s">
        <v>3287</v>
      </c>
      <c r="D4124" s="7" t="s">
        <v>3187</v>
      </c>
      <c r="E4124" s="7" t="str">
        <f>"梁颖颖"</f>
        <v>梁颖颖</v>
      </c>
      <c r="F4124" s="7" t="str">
        <f t="shared" si="871"/>
        <v>女</v>
      </c>
      <c r="G4124" s="7" t="s">
        <v>3350</v>
      </c>
      <c r="H4124" s="8"/>
    </row>
    <row r="4125" ht="25" customHeight="1" spans="1:8">
      <c r="A4125" s="6">
        <v>4123</v>
      </c>
      <c r="B4125" s="7" t="str">
        <f t="shared" si="870"/>
        <v>505</v>
      </c>
      <c r="C4125" s="7" t="s">
        <v>3287</v>
      </c>
      <c r="D4125" s="7" t="s">
        <v>3187</v>
      </c>
      <c r="E4125" s="7" t="str">
        <f>"唐子晴"</f>
        <v>唐子晴</v>
      </c>
      <c r="F4125" s="7" t="str">
        <f t="shared" si="871"/>
        <v>女</v>
      </c>
      <c r="G4125" s="7" t="s">
        <v>3351</v>
      </c>
      <c r="H4125" s="8"/>
    </row>
    <row r="4126" ht="25" customHeight="1" spans="1:8">
      <c r="A4126" s="6">
        <v>4124</v>
      </c>
      <c r="B4126" s="7" t="str">
        <f t="shared" si="870"/>
        <v>505</v>
      </c>
      <c r="C4126" s="7" t="s">
        <v>3287</v>
      </c>
      <c r="D4126" s="7" t="s">
        <v>3187</v>
      </c>
      <c r="E4126" s="7" t="str">
        <f>"朱朋朋"</f>
        <v>朱朋朋</v>
      </c>
      <c r="F4126" s="7" t="str">
        <f t="shared" ref="F4126:F4129" si="872">"男"</f>
        <v>男</v>
      </c>
      <c r="G4126" s="7" t="s">
        <v>3352</v>
      </c>
      <c r="H4126" s="8"/>
    </row>
    <row r="4127" ht="25" customHeight="1" spans="1:8">
      <c r="A4127" s="6">
        <v>4125</v>
      </c>
      <c r="B4127" s="7" t="str">
        <f t="shared" si="870"/>
        <v>505</v>
      </c>
      <c r="C4127" s="7" t="s">
        <v>3287</v>
      </c>
      <c r="D4127" s="7" t="s">
        <v>3187</v>
      </c>
      <c r="E4127" s="7" t="str">
        <f>"麦世兵"</f>
        <v>麦世兵</v>
      </c>
      <c r="F4127" s="7" t="str">
        <f t="shared" si="872"/>
        <v>男</v>
      </c>
      <c r="G4127" s="7" t="s">
        <v>1507</v>
      </c>
      <c r="H4127" s="8"/>
    </row>
    <row r="4128" ht="25" customHeight="1" spans="1:8">
      <c r="A4128" s="6">
        <v>4126</v>
      </c>
      <c r="B4128" s="7" t="str">
        <f t="shared" si="870"/>
        <v>505</v>
      </c>
      <c r="C4128" s="7" t="s">
        <v>3287</v>
      </c>
      <c r="D4128" s="7" t="s">
        <v>3187</v>
      </c>
      <c r="E4128" s="7" t="str">
        <f>"房程"</f>
        <v>房程</v>
      </c>
      <c r="F4128" s="7" t="str">
        <f t="shared" ref="F4128:F4139" si="873">"女"</f>
        <v>女</v>
      </c>
      <c r="G4128" s="7" t="s">
        <v>3353</v>
      </c>
      <c r="H4128" s="8"/>
    </row>
    <row r="4129" ht="25" customHeight="1" spans="1:8">
      <c r="A4129" s="6">
        <v>4127</v>
      </c>
      <c r="B4129" s="7" t="str">
        <f t="shared" si="870"/>
        <v>505</v>
      </c>
      <c r="C4129" s="7" t="s">
        <v>3287</v>
      </c>
      <c r="D4129" s="7" t="s">
        <v>3187</v>
      </c>
      <c r="E4129" s="7" t="str">
        <f>"邢淳"</f>
        <v>邢淳</v>
      </c>
      <c r="F4129" s="7" t="str">
        <f t="shared" si="872"/>
        <v>男</v>
      </c>
      <c r="G4129" s="7" t="s">
        <v>3354</v>
      </c>
      <c r="H4129" s="8"/>
    </row>
    <row r="4130" ht="25" customHeight="1" spans="1:8">
      <c r="A4130" s="6">
        <v>4128</v>
      </c>
      <c r="B4130" s="7" t="str">
        <f t="shared" si="870"/>
        <v>505</v>
      </c>
      <c r="C4130" s="7" t="s">
        <v>3287</v>
      </c>
      <c r="D4130" s="7" t="s">
        <v>3187</v>
      </c>
      <c r="E4130" s="7" t="str">
        <f>"洪媛"</f>
        <v>洪媛</v>
      </c>
      <c r="F4130" s="7" t="str">
        <f t="shared" si="873"/>
        <v>女</v>
      </c>
      <c r="G4130" s="7" t="s">
        <v>3355</v>
      </c>
      <c r="H4130" s="8"/>
    </row>
    <row r="4131" ht="25" customHeight="1" spans="1:8">
      <c r="A4131" s="6">
        <v>4129</v>
      </c>
      <c r="B4131" s="7" t="str">
        <f t="shared" si="870"/>
        <v>505</v>
      </c>
      <c r="C4131" s="7" t="s">
        <v>3287</v>
      </c>
      <c r="D4131" s="7" t="s">
        <v>3187</v>
      </c>
      <c r="E4131" s="7" t="str">
        <f>"吴筱筱"</f>
        <v>吴筱筱</v>
      </c>
      <c r="F4131" s="7" t="str">
        <f t="shared" si="873"/>
        <v>女</v>
      </c>
      <c r="G4131" s="7" t="s">
        <v>3356</v>
      </c>
      <c r="H4131" s="8"/>
    </row>
    <row r="4132" ht="25" customHeight="1" spans="1:8">
      <c r="A4132" s="6">
        <v>4130</v>
      </c>
      <c r="B4132" s="7" t="str">
        <f t="shared" ref="B4132:B4195" si="874">"506"</f>
        <v>506</v>
      </c>
      <c r="C4132" s="7" t="s">
        <v>2318</v>
      </c>
      <c r="D4132" s="7" t="s">
        <v>3187</v>
      </c>
      <c r="E4132" s="7" t="str">
        <f>"唐亚印"</f>
        <v>唐亚印</v>
      </c>
      <c r="F4132" s="7" t="str">
        <f t="shared" si="873"/>
        <v>女</v>
      </c>
      <c r="G4132" s="7" t="s">
        <v>3357</v>
      </c>
      <c r="H4132" s="8"/>
    </row>
    <row r="4133" ht="25" customHeight="1" spans="1:8">
      <c r="A4133" s="6">
        <v>4131</v>
      </c>
      <c r="B4133" s="7" t="str">
        <f t="shared" si="874"/>
        <v>506</v>
      </c>
      <c r="C4133" s="7" t="s">
        <v>2318</v>
      </c>
      <c r="D4133" s="7" t="s">
        <v>3187</v>
      </c>
      <c r="E4133" s="7" t="str">
        <f>"郭慧丽"</f>
        <v>郭慧丽</v>
      </c>
      <c r="F4133" s="7" t="str">
        <f t="shared" si="873"/>
        <v>女</v>
      </c>
      <c r="G4133" s="7" t="s">
        <v>1998</v>
      </c>
      <c r="H4133" s="8"/>
    </row>
    <row r="4134" ht="25" customHeight="1" spans="1:8">
      <c r="A4134" s="6">
        <v>4132</v>
      </c>
      <c r="B4134" s="7" t="str">
        <f t="shared" si="874"/>
        <v>506</v>
      </c>
      <c r="C4134" s="7" t="s">
        <v>2318</v>
      </c>
      <c r="D4134" s="7" t="s">
        <v>3187</v>
      </c>
      <c r="E4134" s="7" t="str">
        <f>"汤雅倩"</f>
        <v>汤雅倩</v>
      </c>
      <c r="F4134" s="7" t="str">
        <f t="shared" si="873"/>
        <v>女</v>
      </c>
      <c r="G4134" s="7" t="s">
        <v>3358</v>
      </c>
      <c r="H4134" s="8"/>
    </row>
    <row r="4135" ht="25" customHeight="1" spans="1:8">
      <c r="A4135" s="6">
        <v>4133</v>
      </c>
      <c r="B4135" s="7" t="str">
        <f t="shared" si="874"/>
        <v>506</v>
      </c>
      <c r="C4135" s="7" t="s">
        <v>2318</v>
      </c>
      <c r="D4135" s="7" t="s">
        <v>3187</v>
      </c>
      <c r="E4135" s="7" t="str">
        <f>"文美茹"</f>
        <v>文美茹</v>
      </c>
      <c r="F4135" s="7" t="str">
        <f t="shared" si="873"/>
        <v>女</v>
      </c>
      <c r="G4135" s="7" t="s">
        <v>3359</v>
      </c>
      <c r="H4135" s="8"/>
    </row>
    <row r="4136" ht="25" customHeight="1" spans="1:8">
      <c r="A4136" s="6">
        <v>4134</v>
      </c>
      <c r="B4136" s="7" t="str">
        <f t="shared" si="874"/>
        <v>506</v>
      </c>
      <c r="C4136" s="7" t="s">
        <v>2318</v>
      </c>
      <c r="D4136" s="7" t="s">
        <v>3187</v>
      </c>
      <c r="E4136" s="7" t="str">
        <f>"吴宛俞"</f>
        <v>吴宛俞</v>
      </c>
      <c r="F4136" s="7" t="str">
        <f t="shared" si="873"/>
        <v>女</v>
      </c>
      <c r="G4136" s="7" t="s">
        <v>3360</v>
      </c>
      <c r="H4136" s="8"/>
    </row>
    <row r="4137" ht="25" customHeight="1" spans="1:8">
      <c r="A4137" s="6">
        <v>4135</v>
      </c>
      <c r="B4137" s="7" t="str">
        <f t="shared" si="874"/>
        <v>506</v>
      </c>
      <c r="C4137" s="7" t="s">
        <v>2318</v>
      </c>
      <c r="D4137" s="7" t="s">
        <v>3187</v>
      </c>
      <c r="E4137" s="7" t="str">
        <f>"柯行苗"</f>
        <v>柯行苗</v>
      </c>
      <c r="F4137" s="7" t="str">
        <f t="shared" si="873"/>
        <v>女</v>
      </c>
      <c r="G4137" s="7" t="s">
        <v>1064</v>
      </c>
      <c r="H4137" s="8"/>
    </row>
    <row r="4138" ht="25" customHeight="1" spans="1:8">
      <c r="A4138" s="6">
        <v>4136</v>
      </c>
      <c r="B4138" s="7" t="str">
        <f t="shared" si="874"/>
        <v>506</v>
      </c>
      <c r="C4138" s="7" t="s">
        <v>2318</v>
      </c>
      <c r="D4138" s="7" t="s">
        <v>3187</v>
      </c>
      <c r="E4138" s="7" t="str">
        <f>"陈荣舒"</f>
        <v>陈荣舒</v>
      </c>
      <c r="F4138" s="7" t="str">
        <f t="shared" si="873"/>
        <v>女</v>
      </c>
      <c r="G4138" s="7" t="s">
        <v>1174</v>
      </c>
      <c r="H4138" s="8"/>
    </row>
    <row r="4139" ht="25" customHeight="1" spans="1:8">
      <c r="A4139" s="6">
        <v>4137</v>
      </c>
      <c r="B4139" s="7" t="str">
        <f t="shared" si="874"/>
        <v>506</v>
      </c>
      <c r="C4139" s="7" t="s">
        <v>2318</v>
      </c>
      <c r="D4139" s="7" t="s">
        <v>3187</v>
      </c>
      <c r="E4139" s="7" t="str">
        <f>"邢程颖"</f>
        <v>邢程颖</v>
      </c>
      <c r="F4139" s="7" t="str">
        <f t="shared" si="873"/>
        <v>女</v>
      </c>
      <c r="G4139" s="7" t="s">
        <v>3361</v>
      </c>
      <c r="H4139" s="8"/>
    </row>
    <row r="4140" ht="25" customHeight="1" spans="1:8">
      <c r="A4140" s="6">
        <v>4138</v>
      </c>
      <c r="B4140" s="7" t="str">
        <f t="shared" si="874"/>
        <v>506</v>
      </c>
      <c r="C4140" s="7" t="s">
        <v>2318</v>
      </c>
      <c r="D4140" s="7" t="s">
        <v>3187</v>
      </c>
      <c r="E4140" s="7" t="str">
        <f>"邢增伦"</f>
        <v>邢增伦</v>
      </c>
      <c r="F4140" s="7" t="str">
        <f>"男"</f>
        <v>男</v>
      </c>
      <c r="G4140" s="7" t="s">
        <v>3362</v>
      </c>
      <c r="H4140" s="8"/>
    </row>
    <row r="4141" ht="25" customHeight="1" spans="1:8">
      <c r="A4141" s="6">
        <v>4139</v>
      </c>
      <c r="B4141" s="7" t="str">
        <f t="shared" si="874"/>
        <v>506</v>
      </c>
      <c r="C4141" s="7" t="s">
        <v>2318</v>
      </c>
      <c r="D4141" s="7" t="s">
        <v>3187</v>
      </c>
      <c r="E4141" s="7" t="str">
        <f>"李佩茜"</f>
        <v>李佩茜</v>
      </c>
      <c r="F4141" s="7" t="str">
        <f t="shared" ref="F4141:F4146" si="875">"女"</f>
        <v>女</v>
      </c>
      <c r="G4141" s="7" t="s">
        <v>618</v>
      </c>
      <c r="H4141" s="8"/>
    </row>
    <row r="4142" ht="25" customHeight="1" spans="1:8">
      <c r="A4142" s="6">
        <v>4140</v>
      </c>
      <c r="B4142" s="7" t="str">
        <f t="shared" si="874"/>
        <v>506</v>
      </c>
      <c r="C4142" s="7" t="s">
        <v>2318</v>
      </c>
      <c r="D4142" s="7" t="s">
        <v>3187</v>
      </c>
      <c r="E4142" s="7" t="str">
        <f>"曾丽蔓"</f>
        <v>曾丽蔓</v>
      </c>
      <c r="F4142" s="7" t="str">
        <f t="shared" si="875"/>
        <v>女</v>
      </c>
      <c r="G4142" s="7" t="s">
        <v>1727</v>
      </c>
      <c r="H4142" s="8"/>
    </row>
    <row r="4143" ht="25" customHeight="1" spans="1:8">
      <c r="A4143" s="6">
        <v>4141</v>
      </c>
      <c r="B4143" s="7" t="str">
        <f t="shared" si="874"/>
        <v>506</v>
      </c>
      <c r="C4143" s="7" t="s">
        <v>2318</v>
      </c>
      <c r="D4143" s="7" t="s">
        <v>3187</v>
      </c>
      <c r="E4143" s="7" t="str">
        <f>"周一鸣"</f>
        <v>周一鸣</v>
      </c>
      <c r="F4143" s="7" t="str">
        <f t="shared" si="875"/>
        <v>女</v>
      </c>
      <c r="G4143" s="7" t="s">
        <v>3363</v>
      </c>
      <c r="H4143" s="8"/>
    </row>
    <row r="4144" ht="25" customHeight="1" spans="1:8">
      <c r="A4144" s="6">
        <v>4142</v>
      </c>
      <c r="B4144" s="7" t="str">
        <f t="shared" si="874"/>
        <v>506</v>
      </c>
      <c r="C4144" s="7" t="s">
        <v>2318</v>
      </c>
      <c r="D4144" s="7" t="s">
        <v>3187</v>
      </c>
      <c r="E4144" s="7" t="str">
        <f>"纪新娴"</f>
        <v>纪新娴</v>
      </c>
      <c r="F4144" s="7" t="str">
        <f t="shared" si="875"/>
        <v>女</v>
      </c>
      <c r="G4144" s="7" t="s">
        <v>3364</v>
      </c>
      <c r="H4144" s="8"/>
    </row>
    <row r="4145" ht="25" customHeight="1" spans="1:8">
      <c r="A4145" s="6">
        <v>4143</v>
      </c>
      <c r="B4145" s="7" t="str">
        <f t="shared" si="874"/>
        <v>506</v>
      </c>
      <c r="C4145" s="7" t="s">
        <v>2318</v>
      </c>
      <c r="D4145" s="7" t="s">
        <v>3187</v>
      </c>
      <c r="E4145" s="7" t="str">
        <f>"容倩妙"</f>
        <v>容倩妙</v>
      </c>
      <c r="F4145" s="7" t="str">
        <f t="shared" si="875"/>
        <v>女</v>
      </c>
      <c r="G4145" s="7" t="s">
        <v>2919</v>
      </c>
      <c r="H4145" s="8"/>
    </row>
    <row r="4146" ht="25" customHeight="1" spans="1:8">
      <c r="A4146" s="6">
        <v>4144</v>
      </c>
      <c r="B4146" s="7" t="str">
        <f t="shared" si="874"/>
        <v>506</v>
      </c>
      <c r="C4146" s="7" t="s">
        <v>2318</v>
      </c>
      <c r="D4146" s="7" t="s">
        <v>3187</v>
      </c>
      <c r="E4146" s="7" t="str">
        <f>"崔紫云"</f>
        <v>崔紫云</v>
      </c>
      <c r="F4146" s="7" t="str">
        <f t="shared" si="875"/>
        <v>女</v>
      </c>
      <c r="G4146" s="7" t="s">
        <v>2194</v>
      </c>
      <c r="H4146" s="8"/>
    </row>
    <row r="4147" ht="25" customHeight="1" spans="1:8">
      <c r="A4147" s="6">
        <v>4145</v>
      </c>
      <c r="B4147" s="7" t="str">
        <f t="shared" si="874"/>
        <v>506</v>
      </c>
      <c r="C4147" s="7" t="s">
        <v>2318</v>
      </c>
      <c r="D4147" s="7" t="s">
        <v>3187</v>
      </c>
      <c r="E4147" s="7" t="str">
        <f>"刘张忠"</f>
        <v>刘张忠</v>
      </c>
      <c r="F4147" s="7" t="str">
        <f>"男"</f>
        <v>男</v>
      </c>
      <c r="G4147" s="7" t="s">
        <v>3365</v>
      </c>
      <c r="H4147" s="8"/>
    </row>
    <row r="4148" ht="25" customHeight="1" spans="1:8">
      <c r="A4148" s="6">
        <v>4146</v>
      </c>
      <c r="B4148" s="7" t="str">
        <f t="shared" si="874"/>
        <v>506</v>
      </c>
      <c r="C4148" s="7" t="s">
        <v>2318</v>
      </c>
      <c r="D4148" s="7" t="s">
        <v>3187</v>
      </c>
      <c r="E4148" s="7" t="str">
        <f>"王翎好"</f>
        <v>王翎好</v>
      </c>
      <c r="F4148" s="7" t="str">
        <f t="shared" ref="F4148:F4167" si="876">"女"</f>
        <v>女</v>
      </c>
      <c r="G4148" s="7" t="s">
        <v>3366</v>
      </c>
      <c r="H4148" s="8"/>
    </row>
    <row r="4149" ht="25" customHeight="1" spans="1:8">
      <c r="A4149" s="6">
        <v>4147</v>
      </c>
      <c r="B4149" s="7" t="str">
        <f t="shared" si="874"/>
        <v>506</v>
      </c>
      <c r="C4149" s="7" t="s">
        <v>2318</v>
      </c>
      <c r="D4149" s="7" t="s">
        <v>3187</v>
      </c>
      <c r="E4149" s="7" t="str">
        <f>"潘苏语"</f>
        <v>潘苏语</v>
      </c>
      <c r="F4149" s="7" t="str">
        <f t="shared" si="876"/>
        <v>女</v>
      </c>
      <c r="G4149" s="7" t="s">
        <v>3367</v>
      </c>
      <c r="H4149" s="8"/>
    </row>
    <row r="4150" ht="25" customHeight="1" spans="1:8">
      <c r="A4150" s="6">
        <v>4148</v>
      </c>
      <c r="B4150" s="7" t="str">
        <f t="shared" si="874"/>
        <v>506</v>
      </c>
      <c r="C4150" s="7" t="s">
        <v>2318</v>
      </c>
      <c r="D4150" s="7" t="s">
        <v>3187</v>
      </c>
      <c r="E4150" s="7" t="str">
        <f>"羊冬慧"</f>
        <v>羊冬慧</v>
      </c>
      <c r="F4150" s="7" t="str">
        <f t="shared" si="876"/>
        <v>女</v>
      </c>
      <c r="G4150" s="7" t="s">
        <v>3368</v>
      </c>
      <c r="H4150" s="8"/>
    </row>
    <row r="4151" ht="25" customHeight="1" spans="1:8">
      <c r="A4151" s="6">
        <v>4149</v>
      </c>
      <c r="B4151" s="7" t="str">
        <f t="shared" si="874"/>
        <v>506</v>
      </c>
      <c r="C4151" s="7" t="s">
        <v>2318</v>
      </c>
      <c r="D4151" s="7" t="s">
        <v>3187</v>
      </c>
      <c r="E4151" s="7" t="str">
        <f>"张旺丽"</f>
        <v>张旺丽</v>
      </c>
      <c r="F4151" s="7" t="str">
        <f t="shared" si="876"/>
        <v>女</v>
      </c>
      <c r="G4151" s="7" t="s">
        <v>3369</v>
      </c>
      <c r="H4151" s="8"/>
    </row>
    <row r="4152" ht="25" customHeight="1" spans="1:8">
      <c r="A4152" s="6">
        <v>4150</v>
      </c>
      <c r="B4152" s="7" t="str">
        <f t="shared" si="874"/>
        <v>506</v>
      </c>
      <c r="C4152" s="7" t="s">
        <v>2318</v>
      </c>
      <c r="D4152" s="7" t="s">
        <v>3187</v>
      </c>
      <c r="E4152" s="7" t="str">
        <f>"陈晞月"</f>
        <v>陈晞月</v>
      </c>
      <c r="F4152" s="7" t="str">
        <f t="shared" si="876"/>
        <v>女</v>
      </c>
      <c r="G4152" s="7" t="s">
        <v>2738</v>
      </c>
      <c r="H4152" s="8"/>
    </row>
    <row r="4153" ht="25" customHeight="1" spans="1:8">
      <c r="A4153" s="6">
        <v>4151</v>
      </c>
      <c r="B4153" s="7" t="str">
        <f t="shared" si="874"/>
        <v>506</v>
      </c>
      <c r="C4153" s="7" t="s">
        <v>2318</v>
      </c>
      <c r="D4153" s="7" t="s">
        <v>3187</v>
      </c>
      <c r="E4153" s="7" t="str">
        <f>"杨惠晶"</f>
        <v>杨惠晶</v>
      </c>
      <c r="F4153" s="7" t="str">
        <f t="shared" si="876"/>
        <v>女</v>
      </c>
      <c r="G4153" s="7" t="s">
        <v>3370</v>
      </c>
      <c r="H4153" s="8"/>
    </row>
    <row r="4154" ht="25" customHeight="1" spans="1:8">
      <c r="A4154" s="6">
        <v>4152</v>
      </c>
      <c r="B4154" s="7" t="str">
        <f t="shared" si="874"/>
        <v>506</v>
      </c>
      <c r="C4154" s="7" t="s">
        <v>2318</v>
      </c>
      <c r="D4154" s="7" t="s">
        <v>3187</v>
      </c>
      <c r="E4154" s="7" t="str">
        <f>"李静"</f>
        <v>李静</v>
      </c>
      <c r="F4154" s="7" t="str">
        <f t="shared" si="876"/>
        <v>女</v>
      </c>
      <c r="G4154" s="7" t="s">
        <v>3371</v>
      </c>
      <c r="H4154" s="8"/>
    </row>
    <row r="4155" ht="25" customHeight="1" spans="1:8">
      <c r="A4155" s="6">
        <v>4153</v>
      </c>
      <c r="B4155" s="7" t="str">
        <f t="shared" si="874"/>
        <v>506</v>
      </c>
      <c r="C4155" s="7" t="s">
        <v>2318</v>
      </c>
      <c r="D4155" s="7" t="s">
        <v>3187</v>
      </c>
      <c r="E4155" s="7" t="str">
        <f>"李绮"</f>
        <v>李绮</v>
      </c>
      <c r="F4155" s="7" t="str">
        <f t="shared" si="876"/>
        <v>女</v>
      </c>
      <c r="G4155" s="7" t="s">
        <v>3372</v>
      </c>
      <c r="H4155" s="8"/>
    </row>
    <row r="4156" ht="25" customHeight="1" spans="1:8">
      <c r="A4156" s="6">
        <v>4154</v>
      </c>
      <c r="B4156" s="7" t="str">
        <f t="shared" si="874"/>
        <v>506</v>
      </c>
      <c r="C4156" s="7" t="s">
        <v>2318</v>
      </c>
      <c r="D4156" s="7" t="s">
        <v>3187</v>
      </c>
      <c r="E4156" s="7" t="str">
        <f>"唐琼媚"</f>
        <v>唐琼媚</v>
      </c>
      <c r="F4156" s="7" t="str">
        <f t="shared" si="876"/>
        <v>女</v>
      </c>
      <c r="G4156" s="7" t="s">
        <v>3373</v>
      </c>
      <c r="H4156" s="8"/>
    </row>
    <row r="4157" ht="25" customHeight="1" spans="1:8">
      <c r="A4157" s="6">
        <v>4155</v>
      </c>
      <c r="B4157" s="7" t="str">
        <f t="shared" si="874"/>
        <v>506</v>
      </c>
      <c r="C4157" s="7" t="s">
        <v>2318</v>
      </c>
      <c r="D4157" s="7" t="s">
        <v>3187</v>
      </c>
      <c r="E4157" s="7" t="str">
        <f>"麦瑞"</f>
        <v>麦瑞</v>
      </c>
      <c r="F4157" s="7" t="str">
        <f t="shared" si="876"/>
        <v>女</v>
      </c>
      <c r="G4157" s="7" t="s">
        <v>3374</v>
      </c>
      <c r="H4157" s="8"/>
    </row>
    <row r="4158" ht="25" customHeight="1" spans="1:8">
      <c r="A4158" s="6">
        <v>4156</v>
      </c>
      <c r="B4158" s="7" t="str">
        <f t="shared" si="874"/>
        <v>506</v>
      </c>
      <c r="C4158" s="7" t="s">
        <v>2318</v>
      </c>
      <c r="D4158" s="7" t="s">
        <v>3187</v>
      </c>
      <c r="E4158" s="7" t="str">
        <f>"孙铭蔚"</f>
        <v>孙铭蔚</v>
      </c>
      <c r="F4158" s="7" t="str">
        <f t="shared" si="876"/>
        <v>女</v>
      </c>
      <c r="G4158" s="7" t="s">
        <v>200</v>
      </c>
      <c r="H4158" s="8"/>
    </row>
    <row r="4159" ht="25" customHeight="1" spans="1:8">
      <c r="A4159" s="6">
        <v>4157</v>
      </c>
      <c r="B4159" s="7" t="str">
        <f t="shared" si="874"/>
        <v>506</v>
      </c>
      <c r="C4159" s="7" t="s">
        <v>2318</v>
      </c>
      <c r="D4159" s="7" t="s">
        <v>3187</v>
      </c>
      <c r="E4159" s="7" t="str">
        <f>"文凤婉"</f>
        <v>文凤婉</v>
      </c>
      <c r="F4159" s="7" t="str">
        <f t="shared" si="876"/>
        <v>女</v>
      </c>
      <c r="G4159" s="7" t="s">
        <v>3375</v>
      </c>
      <c r="H4159" s="8"/>
    </row>
    <row r="4160" ht="25" customHeight="1" spans="1:8">
      <c r="A4160" s="6">
        <v>4158</v>
      </c>
      <c r="B4160" s="7" t="str">
        <f t="shared" si="874"/>
        <v>506</v>
      </c>
      <c r="C4160" s="7" t="s">
        <v>2318</v>
      </c>
      <c r="D4160" s="7" t="s">
        <v>3187</v>
      </c>
      <c r="E4160" s="7" t="str">
        <f>"白玉容"</f>
        <v>白玉容</v>
      </c>
      <c r="F4160" s="7" t="str">
        <f t="shared" si="876"/>
        <v>女</v>
      </c>
      <c r="G4160" s="7" t="s">
        <v>3376</v>
      </c>
      <c r="H4160" s="8"/>
    </row>
    <row r="4161" ht="25" customHeight="1" spans="1:8">
      <c r="A4161" s="6">
        <v>4159</v>
      </c>
      <c r="B4161" s="7" t="str">
        <f t="shared" si="874"/>
        <v>506</v>
      </c>
      <c r="C4161" s="7" t="s">
        <v>2318</v>
      </c>
      <c r="D4161" s="7" t="s">
        <v>3187</v>
      </c>
      <c r="E4161" s="7" t="str">
        <f>"谢欣影"</f>
        <v>谢欣影</v>
      </c>
      <c r="F4161" s="7" t="str">
        <f t="shared" si="876"/>
        <v>女</v>
      </c>
      <c r="G4161" s="7" t="s">
        <v>3377</v>
      </c>
      <c r="H4161" s="8"/>
    </row>
    <row r="4162" ht="25" customHeight="1" spans="1:8">
      <c r="A4162" s="6">
        <v>4160</v>
      </c>
      <c r="B4162" s="7" t="str">
        <f t="shared" si="874"/>
        <v>506</v>
      </c>
      <c r="C4162" s="7" t="s">
        <v>2318</v>
      </c>
      <c r="D4162" s="7" t="s">
        <v>3187</v>
      </c>
      <c r="E4162" s="7" t="str">
        <f>"薛怡琳"</f>
        <v>薛怡琳</v>
      </c>
      <c r="F4162" s="7" t="str">
        <f t="shared" si="876"/>
        <v>女</v>
      </c>
      <c r="G4162" s="7" t="s">
        <v>3378</v>
      </c>
      <c r="H4162" s="8"/>
    </row>
    <row r="4163" ht="25" customHeight="1" spans="1:8">
      <c r="A4163" s="6">
        <v>4161</v>
      </c>
      <c r="B4163" s="7" t="str">
        <f t="shared" si="874"/>
        <v>506</v>
      </c>
      <c r="C4163" s="7" t="s">
        <v>2318</v>
      </c>
      <c r="D4163" s="7" t="s">
        <v>3187</v>
      </c>
      <c r="E4163" s="7" t="str">
        <f>"林柳菁"</f>
        <v>林柳菁</v>
      </c>
      <c r="F4163" s="7" t="str">
        <f t="shared" si="876"/>
        <v>女</v>
      </c>
      <c r="G4163" s="7" t="s">
        <v>3379</v>
      </c>
      <c r="H4163" s="8"/>
    </row>
    <row r="4164" ht="25" customHeight="1" spans="1:8">
      <c r="A4164" s="6">
        <v>4162</v>
      </c>
      <c r="B4164" s="7" t="str">
        <f t="shared" si="874"/>
        <v>506</v>
      </c>
      <c r="C4164" s="7" t="s">
        <v>2318</v>
      </c>
      <c r="D4164" s="7" t="s">
        <v>3187</v>
      </c>
      <c r="E4164" s="7" t="str">
        <f>"孙荣香"</f>
        <v>孙荣香</v>
      </c>
      <c r="F4164" s="7" t="str">
        <f t="shared" si="876"/>
        <v>女</v>
      </c>
      <c r="G4164" s="7" t="s">
        <v>2632</v>
      </c>
      <c r="H4164" s="8"/>
    </row>
    <row r="4165" ht="25" customHeight="1" spans="1:8">
      <c r="A4165" s="6">
        <v>4163</v>
      </c>
      <c r="B4165" s="7" t="str">
        <f t="shared" si="874"/>
        <v>506</v>
      </c>
      <c r="C4165" s="7" t="s">
        <v>2318</v>
      </c>
      <c r="D4165" s="7" t="s">
        <v>3187</v>
      </c>
      <c r="E4165" s="7" t="str">
        <f>"罗慧敏"</f>
        <v>罗慧敏</v>
      </c>
      <c r="F4165" s="7" t="str">
        <f t="shared" si="876"/>
        <v>女</v>
      </c>
      <c r="G4165" s="7" t="s">
        <v>1116</v>
      </c>
      <c r="H4165" s="8"/>
    </row>
    <row r="4166" ht="25" customHeight="1" spans="1:8">
      <c r="A4166" s="6">
        <v>4164</v>
      </c>
      <c r="B4166" s="7" t="str">
        <f t="shared" si="874"/>
        <v>506</v>
      </c>
      <c r="C4166" s="7" t="s">
        <v>2318</v>
      </c>
      <c r="D4166" s="7" t="s">
        <v>3187</v>
      </c>
      <c r="E4166" s="7" t="str">
        <f>"陈瑾瑜"</f>
        <v>陈瑾瑜</v>
      </c>
      <c r="F4166" s="7" t="str">
        <f t="shared" si="876"/>
        <v>女</v>
      </c>
      <c r="G4166" s="7" t="s">
        <v>3380</v>
      </c>
      <c r="H4166" s="8"/>
    </row>
    <row r="4167" ht="25" customHeight="1" spans="1:8">
      <c r="A4167" s="6">
        <v>4165</v>
      </c>
      <c r="B4167" s="7" t="str">
        <f t="shared" si="874"/>
        <v>506</v>
      </c>
      <c r="C4167" s="7" t="s">
        <v>2318</v>
      </c>
      <c r="D4167" s="7" t="s">
        <v>3187</v>
      </c>
      <c r="E4167" s="7" t="str">
        <f>"翟越"</f>
        <v>翟越</v>
      </c>
      <c r="F4167" s="7" t="str">
        <f t="shared" si="876"/>
        <v>女</v>
      </c>
      <c r="G4167" s="7" t="s">
        <v>3381</v>
      </c>
      <c r="H4167" s="8"/>
    </row>
    <row r="4168" ht="25" customHeight="1" spans="1:8">
      <c r="A4168" s="6">
        <v>4166</v>
      </c>
      <c r="B4168" s="7" t="str">
        <f t="shared" si="874"/>
        <v>506</v>
      </c>
      <c r="C4168" s="7" t="s">
        <v>2318</v>
      </c>
      <c r="D4168" s="7" t="s">
        <v>3187</v>
      </c>
      <c r="E4168" s="7" t="str">
        <f>"符运伟"</f>
        <v>符运伟</v>
      </c>
      <c r="F4168" s="7" t="str">
        <f>"男"</f>
        <v>男</v>
      </c>
      <c r="G4168" s="7" t="s">
        <v>3382</v>
      </c>
      <c r="H4168" s="8"/>
    </row>
    <row r="4169" ht="25" customHeight="1" spans="1:8">
      <c r="A4169" s="6">
        <v>4167</v>
      </c>
      <c r="B4169" s="7" t="str">
        <f t="shared" si="874"/>
        <v>506</v>
      </c>
      <c r="C4169" s="7" t="s">
        <v>2318</v>
      </c>
      <c r="D4169" s="7" t="s">
        <v>3187</v>
      </c>
      <c r="E4169" s="7" t="str">
        <f>"王晓阳"</f>
        <v>王晓阳</v>
      </c>
      <c r="F4169" s="7" t="str">
        <f t="shared" ref="F4169:F4173" si="877">"女"</f>
        <v>女</v>
      </c>
      <c r="G4169" s="7" t="s">
        <v>3383</v>
      </c>
      <c r="H4169" s="8"/>
    </row>
    <row r="4170" ht="25" customHeight="1" spans="1:8">
      <c r="A4170" s="6">
        <v>4168</v>
      </c>
      <c r="B4170" s="7" t="str">
        <f t="shared" si="874"/>
        <v>506</v>
      </c>
      <c r="C4170" s="7" t="s">
        <v>2318</v>
      </c>
      <c r="D4170" s="7" t="s">
        <v>3187</v>
      </c>
      <c r="E4170" s="7" t="str">
        <f>"王斐"</f>
        <v>王斐</v>
      </c>
      <c r="F4170" s="7" t="str">
        <f t="shared" si="877"/>
        <v>女</v>
      </c>
      <c r="G4170" s="7" t="s">
        <v>3384</v>
      </c>
      <c r="H4170" s="8"/>
    </row>
    <row r="4171" ht="25" customHeight="1" spans="1:8">
      <c r="A4171" s="6">
        <v>4169</v>
      </c>
      <c r="B4171" s="7" t="str">
        <f t="shared" si="874"/>
        <v>506</v>
      </c>
      <c r="C4171" s="7" t="s">
        <v>2318</v>
      </c>
      <c r="D4171" s="7" t="s">
        <v>3187</v>
      </c>
      <c r="E4171" s="7" t="str">
        <f>"陈梦迪"</f>
        <v>陈梦迪</v>
      </c>
      <c r="F4171" s="7" t="str">
        <f t="shared" si="877"/>
        <v>女</v>
      </c>
      <c r="G4171" s="7" t="s">
        <v>3385</v>
      </c>
      <c r="H4171" s="8"/>
    </row>
    <row r="4172" ht="25" customHeight="1" spans="1:8">
      <c r="A4172" s="6">
        <v>4170</v>
      </c>
      <c r="B4172" s="7" t="str">
        <f t="shared" si="874"/>
        <v>506</v>
      </c>
      <c r="C4172" s="7" t="s">
        <v>2318</v>
      </c>
      <c r="D4172" s="7" t="s">
        <v>3187</v>
      </c>
      <c r="E4172" s="7" t="str">
        <f>"谷秋燕"</f>
        <v>谷秋燕</v>
      </c>
      <c r="F4172" s="7" t="str">
        <f t="shared" si="877"/>
        <v>女</v>
      </c>
      <c r="G4172" s="7" t="s">
        <v>3386</v>
      </c>
      <c r="H4172" s="8"/>
    </row>
    <row r="4173" ht="25" customHeight="1" spans="1:8">
      <c r="A4173" s="6">
        <v>4171</v>
      </c>
      <c r="B4173" s="7" t="str">
        <f t="shared" si="874"/>
        <v>506</v>
      </c>
      <c r="C4173" s="7" t="s">
        <v>2318</v>
      </c>
      <c r="D4173" s="7" t="s">
        <v>3187</v>
      </c>
      <c r="E4173" s="7" t="str">
        <f>"卢婷"</f>
        <v>卢婷</v>
      </c>
      <c r="F4173" s="7" t="str">
        <f t="shared" si="877"/>
        <v>女</v>
      </c>
      <c r="G4173" s="7" t="s">
        <v>2644</v>
      </c>
      <c r="H4173" s="8"/>
    </row>
    <row r="4174" ht="25" customHeight="1" spans="1:8">
      <c r="A4174" s="6">
        <v>4172</v>
      </c>
      <c r="B4174" s="7" t="str">
        <f t="shared" si="874"/>
        <v>506</v>
      </c>
      <c r="C4174" s="7" t="s">
        <v>2318</v>
      </c>
      <c r="D4174" s="7" t="s">
        <v>3187</v>
      </c>
      <c r="E4174" s="7" t="str">
        <f>"朱亿鑫"</f>
        <v>朱亿鑫</v>
      </c>
      <c r="F4174" s="7" t="str">
        <f>"男"</f>
        <v>男</v>
      </c>
      <c r="G4174" s="7" t="s">
        <v>3387</v>
      </c>
      <c r="H4174" s="8"/>
    </row>
    <row r="4175" ht="25" customHeight="1" spans="1:8">
      <c r="A4175" s="6">
        <v>4173</v>
      </c>
      <c r="B4175" s="7" t="str">
        <f t="shared" si="874"/>
        <v>506</v>
      </c>
      <c r="C4175" s="7" t="s">
        <v>2318</v>
      </c>
      <c r="D4175" s="7" t="s">
        <v>3187</v>
      </c>
      <c r="E4175" s="7" t="str">
        <f>"蒙鑫鑫"</f>
        <v>蒙鑫鑫</v>
      </c>
      <c r="F4175" s="7" t="str">
        <f t="shared" ref="F4175:F4188" si="878">"女"</f>
        <v>女</v>
      </c>
      <c r="G4175" s="7" t="s">
        <v>3319</v>
      </c>
      <c r="H4175" s="8"/>
    </row>
    <row r="4176" ht="25" customHeight="1" spans="1:8">
      <c r="A4176" s="6">
        <v>4174</v>
      </c>
      <c r="B4176" s="7" t="str">
        <f t="shared" si="874"/>
        <v>506</v>
      </c>
      <c r="C4176" s="7" t="s">
        <v>2318</v>
      </c>
      <c r="D4176" s="7" t="s">
        <v>3187</v>
      </c>
      <c r="E4176" s="7" t="str">
        <f>"陈星星"</f>
        <v>陈星星</v>
      </c>
      <c r="F4176" s="7" t="str">
        <f t="shared" si="878"/>
        <v>女</v>
      </c>
      <c r="G4176" s="7" t="s">
        <v>498</v>
      </c>
      <c r="H4176" s="8"/>
    </row>
    <row r="4177" ht="25" customHeight="1" spans="1:8">
      <c r="A4177" s="6">
        <v>4175</v>
      </c>
      <c r="B4177" s="7" t="str">
        <f t="shared" si="874"/>
        <v>506</v>
      </c>
      <c r="C4177" s="7" t="s">
        <v>2318</v>
      </c>
      <c r="D4177" s="7" t="s">
        <v>3187</v>
      </c>
      <c r="E4177" s="7" t="str">
        <f>"莫文倩"</f>
        <v>莫文倩</v>
      </c>
      <c r="F4177" s="7" t="str">
        <f t="shared" si="878"/>
        <v>女</v>
      </c>
      <c r="G4177" s="7" t="s">
        <v>3388</v>
      </c>
      <c r="H4177" s="8"/>
    </row>
    <row r="4178" ht="25" customHeight="1" spans="1:8">
      <c r="A4178" s="6">
        <v>4176</v>
      </c>
      <c r="B4178" s="7" t="str">
        <f t="shared" si="874"/>
        <v>506</v>
      </c>
      <c r="C4178" s="7" t="s">
        <v>2318</v>
      </c>
      <c r="D4178" s="7" t="s">
        <v>3187</v>
      </c>
      <c r="E4178" s="7" t="str">
        <f>"莫锦茹"</f>
        <v>莫锦茹</v>
      </c>
      <c r="F4178" s="7" t="str">
        <f t="shared" si="878"/>
        <v>女</v>
      </c>
      <c r="G4178" s="7" t="s">
        <v>3389</v>
      </c>
      <c r="H4178" s="8"/>
    </row>
    <row r="4179" ht="25" customHeight="1" spans="1:8">
      <c r="A4179" s="6">
        <v>4177</v>
      </c>
      <c r="B4179" s="7" t="str">
        <f t="shared" si="874"/>
        <v>506</v>
      </c>
      <c r="C4179" s="7" t="s">
        <v>2318</v>
      </c>
      <c r="D4179" s="7" t="s">
        <v>3187</v>
      </c>
      <c r="E4179" s="7" t="str">
        <f>"谢晓晶"</f>
        <v>谢晓晶</v>
      </c>
      <c r="F4179" s="7" t="str">
        <f t="shared" si="878"/>
        <v>女</v>
      </c>
      <c r="G4179" s="7" t="s">
        <v>3390</v>
      </c>
      <c r="H4179" s="8"/>
    </row>
    <row r="4180" ht="25" customHeight="1" spans="1:8">
      <c r="A4180" s="6">
        <v>4178</v>
      </c>
      <c r="B4180" s="7" t="str">
        <f t="shared" si="874"/>
        <v>506</v>
      </c>
      <c r="C4180" s="7" t="s">
        <v>2318</v>
      </c>
      <c r="D4180" s="7" t="s">
        <v>3187</v>
      </c>
      <c r="E4180" s="7" t="str">
        <f>"高顺姬"</f>
        <v>高顺姬</v>
      </c>
      <c r="F4180" s="7" t="str">
        <f t="shared" si="878"/>
        <v>女</v>
      </c>
      <c r="G4180" s="7" t="s">
        <v>3391</v>
      </c>
      <c r="H4180" s="8"/>
    </row>
    <row r="4181" ht="25" customHeight="1" spans="1:8">
      <c r="A4181" s="6">
        <v>4179</v>
      </c>
      <c r="B4181" s="7" t="str">
        <f t="shared" si="874"/>
        <v>506</v>
      </c>
      <c r="C4181" s="7" t="s">
        <v>2318</v>
      </c>
      <c r="D4181" s="7" t="s">
        <v>3187</v>
      </c>
      <c r="E4181" s="7" t="str">
        <f>"潘振铃"</f>
        <v>潘振铃</v>
      </c>
      <c r="F4181" s="7" t="str">
        <f t="shared" si="878"/>
        <v>女</v>
      </c>
      <c r="G4181" s="7" t="s">
        <v>3392</v>
      </c>
      <c r="H4181" s="8"/>
    </row>
    <row r="4182" ht="25" customHeight="1" spans="1:8">
      <c r="A4182" s="6">
        <v>4180</v>
      </c>
      <c r="B4182" s="7" t="str">
        <f t="shared" si="874"/>
        <v>506</v>
      </c>
      <c r="C4182" s="7" t="s">
        <v>2318</v>
      </c>
      <c r="D4182" s="7" t="s">
        <v>3187</v>
      </c>
      <c r="E4182" s="7" t="str">
        <f>"黄凡珊"</f>
        <v>黄凡珊</v>
      </c>
      <c r="F4182" s="7" t="str">
        <f t="shared" si="878"/>
        <v>女</v>
      </c>
      <c r="G4182" s="7" t="s">
        <v>1115</v>
      </c>
      <c r="H4182" s="8"/>
    </row>
    <row r="4183" ht="25" customHeight="1" spans="1:8">
      <c r="A4183" s="6">
        <v>4181</v>
      </c>
      <c r="B4183" s="7" t="str">
        <f t="shared" si="874"/>
        <v>506</v>
      </c>
      <c r="C4183" s="7" t="s">
        <v>2318</v>
      </c>
      <c r="D4183" s="7" t="s">
        <v>3187</v>
      </c>
      <c r="E4183" s="7" t="str">
        <f>"孙丽"</f>
        <v>孙丽</v>
      </c>
      <c r="F4183" s="7" t="str">
        <f t="shared" si="878"/>
        <v>女</v>
      </c>
      <c r="G4183" s="7" t="s">
        <v>3393</v>
      </c>
      <c r="H4183" s="8"/>
    </row>
    <row r="4184" ht="25" customHeight="1" spans="1:8">
      <c r="A4184" s="6">
        <v>4182</v>
      </c>
      <c r="B4184" s="7" t="str">
        <f t="shared" si="874"/>
        <v>506</v>
      </c>
      <c r="C4184" s="7" t="s">
        <v>2318</v>
      </c>
      <c r="D4184" s="7" t="s">
        <v>3187</v>
      </c>
      <c r="E4184" s="7" t="str">
        <f>"陈昳彤"</f>
        <v>陈昳彤</v>
      </c>
      <c r="F4184" s="7" t="str">
        <f t="shared" si="878"/>
        <v>女</v>
      </c>
      <c r="G4184" s="7" t="s">
        <v>147</v>
      </c>
      <c r="H4184" s="8"/>
    </row>
    <row r="4185" ht="25" customHeight="1" spans="1:8">
      <c r="A4185" s="6">
        <v>4183</v>
      </c>
      <c r="B4185" s="7" t="str">
        <f t="shared" si="874"/>
        <v>506</v>
      </c>
      <c r="C4185" s="7" t="s">
        <v>2318</v>
      </c>
      <c r="D4185" s="7" t="s">
        <v>3187</v>
      </c>
      <c r="E4185" s="7" t="str">
        <f>"符晶晶"</f>
        <v>符晶晶</v>
      </c>
      <c r="F4185" s="7" t="str">
        <f t="shared" si="878"/>
        <v>女</v>
      </c>
      <c r="G4185" s="7" t="s">
        <v>376</v>
      </c>
      <c r="H4185" s="8"/>
    </row>
    <row r="4186" ht="25" customHeight="1" spans="1:8">
      <c r="A4186" s="6">
        <v>4184</v>
      </c>
      <c r="B4186" s="7" t="str">
        <f t="shared" si="874"/>
        <v>506</v>
      </c>
      <c r="C4186" s="7" t="s">
        <v>2318</v>
      </c>
      <c r="D4186" s="7" t="s">
        <v>3187</v>
      </c>
      <c r="E4186" s="7" t="str">
        <f>"钟景菲"</f>
        <v>钟景菲</v>
      </c>
      <c r="F4186" s="7" t="str">
        <f t="shared" si="878"/>
        <v>女</v>
      </c>
      <c r="G4186" s="7" t="s">
        <v>3394</v>
      </c>
      <c r="H4186" s="8"/>
    </row>
    <row r="4187" ht="25" customHeight="1" spans="1:8">
      <c r="A4187" s="6">
        <v>4185</v>
      </c>
      <c r="B4187" s="7" t="str">
        <f t="shared" si="874"/>
        <v>506</v>
      </c>
      <c r="C4187" s="7" t="s">
        <v>2318</v>
      </c>
      <c r="D4187" s="7" t="s">
        <v>3187</v>
      </c>
      <c r="E4187" s="7" t="str">
        <f>"董从雨"</f>
        <v>董从雨</v>
      </c>
      <c r="F4187" s="7" t="str">
        <f t="shared" si="878"/>
        <v>女</v>
      </c>
      <c r="G4187" s="7" t="s">
        <v>3395</v>
      </c>
      <c r="H4187" s="8"/>
    </row>
    <row r="4188" ht="25" customHeight="1" spans="1:8">
      <c r="A4188" s="6">
        <v>4186</v>
      </c>
      <c r="B4188" s="7" t="str">
        <f t="shared" si="874"/>
        <v>506</v>
      </c>
      <c r="C4188" s="7" t="s">
        <v>2318</v>
      </c>
      <c r="D4188" s="7" t="s">
        <v>3187</v>
      </c>
      <c r="E4188" s="7" t="str">
        <f>"蒙珊珊"</f>
        <v>蒙珊珊</v>
      </c>
      <c r="F4188" s="7" t="str">
        <f t="shared" si="878"/>
        <v>女</v>
      </c>
      <c r="G4188" s="7" t="s">
        <v>733</v>
      </c>
      <c r="H4188" s="8"/>
    </row>
    <row r="4189" ht="25" customHeight="1" spans="1:8">
      <c r="A4189" s="6">
        <v>4187</v>
      </c>
      <c r="B4189" s="7" t="str">
        <f t="shared" si="874"/>
        <v>506</v>
      </c>
      <c r="C4189" s="7" t="s">
        <v>2318</v>
      </c>
      <c r="D4189" s="7" t="s">
        <v>3187</v>
      </c>
      <c r="E4189" s="7" t="str">
        <f>"陈真瑞"</f>
        <v>陈真瑞</v>
      </c>
      <c r="F4189" s="7" t="str">
        <f>"男"</f>
        <v>男</v>
      </c>
      <c r="G4189" s="7" t="s">
        <v>3396</v>
      </c>
      <c r="H4189" s="8"/>
    </row>
    <row r="4190" ht="25" customHeight="1" spans="1:8">
      <c r="A4190" s="6">
        <v>4188</v>
      </c>
      <c r="B4190" s="7" t="str">
        <f t="shared" si="874"/>
        <v>506</v>
      </c>
      <c r="C4190" s="7" t="s">
        <v>2318</v>
      </c>
      <c r="D4190" s="7" t="s">
        <v>3187</v>
      </c>
      <c r="E4190" s="7" t="str">
        <f>"杨玲"</f>
        <v>杨玲</v>
      </c>
      <c r="F4190" s="7" t="str">
        <f t="shared" ref="F4190:F4213" si="879">"女"</f>
        <v>女</v>
      </c>
      <c r="G4190" s="7" t="s">
        <v>3397</v>
      </c>
      <c r="H4190" s="8"/>
    </row>
    <row r="4191" ht="25" customHeight="1" spans="1:8">
      <c r="A4191" s="6">
        <v>4189</v>
      </c>
      <c r="B4191" s="7" t="str">
        <f t="shared" si="874"/>
        <v>506</v>
      </c>
      <c r="C4191" s="7" t="s">
        <v>2318</v>
      </c>
      <c r="D4191" s="7" t="s">
        <v>3187</v>
      </c>
      <c r="E4191" s="7" t="str">
        <f>"刘应彩"</f>
        <v>刘应彩</v>
      </c>
      <c r="F4191" s="7" t="str">
        <f t="shared" si="879"/>
        <v>女</v>
      </c>
      <c r="G4191" s="7" t="s">
        <v>586</v>
      </c>
      <c r="H4191" s="8"/>
    </row>
    <row r="4192" ht="25" customHeight="1" spans="1:8">
      <c r="A4192" s="6">
        <v>4190</v>
      </c>
      <c r="B4192" s="7" t="str">
        <f t="shared" si="874"/>
        <v>506</v>
      </c>
      <c r="C4192" s="7" t="s">
        <v>2318</v>
      </c>
      <c r="D4192" s="7" t="s">
        <v>3187</v>
      </c>
      <c r="E4192" s="7" t="str">
        <f>"黄文捷"</f>
        <v>黄文捷</v>
      </c>
      <c r="F4192" s="7" t="str">
        <f t="shared" si="879"/>
        <v>女</v>
      </c>
      <c r="G4192" s="7" t="s">
        <v>3096</v>
      </c>
      <c r="H4192" s="8"/>
    </row>
    <row r="4193" ht="25" customHeight="1" spans="1:8">
      <c r="A4193" s="6">
        <v>4191</v>
      </c>
      <c r="B4193" s="7" t="str">
        <f t="shared" si="874"/>
        <v>506</v>
      </c>
      <c r="C4193" s="7" t="s">
        <v>2318</v>
      </c>
      <c r="D4193" s="7" t="s">
        <v>3187</v>
      </c>
      <c r="E4193" s="7" t="str">
        <f>"林玉霞"</f>
        <v>林玉霞</v>
      </c>
      <c r="F4193" s="7" t="str">
        <f t="shared" si="879"/>
        <v>女</v>
      </c>
      <c r="G4193" s="7" t="s">
        <v>3398</v>
      </c>
      <c r="H4193" s="8"/>
    </row>
    <row r="4194" ht="25" customHeight="1" spans="1:8">
      <c r="A4194" s="6">
        <v>4192</v>
      </c>
      <c r="B4194" s="7" t="str">
        <f t="shared" si="874"/>
        <v>506</v>
      </c>
      <c r="C4194" s="7" t="s">
        <v>2318</v>
      </c>
      <c r="D4194" s="7" t="s">
        <v>3187</v>
      </c>
      <c r="E4194" s="7" t="str">
        <f>"周芯映"</f>
        <v>周芯映</v>
      </c>
      <c r="F4194" s="7" t="str">
        <f t="shared" si="879"/>
        <v>女</v>
      </c>
      <c r="G4194" s="7" t="s">
        <v>3399</v>
      </c>
      <c r="H4194" s="8"/>
    </row>
    <row r="4195" ht="25" customHeight="1" spans="1:8">
      <c r="A4195" s="6">
        <v>4193</v>
      </c>
      <c r="B4195" s="7" t="str">
        <f t="shared" si="874"/>
        <v>506</v>
      </c>
      <c r="C4195" s="7" t="s">
        <v>2318</v>
      </c>
      <c r="D4195" s="7" t="s">
        <v>3187</v>
      </c>
      <c r="E4195" s="7" t="str">
        <f>"羊和婷"</f>
        <v>羊和婷</v>
      </c>
      <c r="F4195" s="7" t="str">
        <f t="shared" si="879"/>
        <v>女</v>
      </c>
      <c r="G4195" s="7" t="s">
        <v>3400</v>
      </c>
      <c r="H4195" s="8"/>
    </row>
    <row r="4196" ht="25" customHeight="1" spans="1:8">
      <c r="A4196" s="6">
        <v>4194</v>
      </c>
      <c r="B4196" s="7" t="str">
        <f t="shared" ref="B4196:B4213" si="880">"506"</f>
        <v>506</v>
      </c>
      <c r="C4196" s="7" t="s">
        <v>2318</v>
      </c>
      <c r="D4196" s="7" t="s">
        <v>3187</v>
      </c>
      <c r="E4196" s="7" t="str">
        <f>"邢淑芝"</f>
        <v>邢淑芝</v>
      </c>
      <c r="F4196" s="7" t="str">
        <f t="shared" si="879"/>
        <v>女</v>
      </c>
      <c r="G4196" s="7" t="s">
        <v>1178</v>
      </c>
      <c r="H4196" s="8"/>
    </row>
    <row r="4197" ht="25" customHeight="1" spans="1:8">
      <c r="A4197" s="6">
        <v>4195</v>
      </c>
      <c r="B4197" s="7" t="str">
        <f t="shared" si="880"/>
        <v>506</v>
      </c>
      <c r="C4197" s="7" t="s">
        <v>2318</v>
      </c>
      <c r="D4197" s="7" t="s">
        <v>3187</v>
      </c>
      <c r="E4197" s="7" t="str">
        <f>"黄红英"</f>
        <v>黄红英</v>
      </c>
      <c r="F4197" s="7" t="str">
        <f t="shared" si="879"/>
        <v>女</v>
      </c>
      <c r="G4197" s="7" t="s">
        <v>3401</v>
      </c>
      <c r="H4197" s="8"/>
    </row>
    <row r="4198" ht="25" customHeight="1" spans="1:8">
      <c r="A4198" s="6">
        <v>4196</v>
      </c>
      <c r="B4198" s="7" t="str">
        <f t="shared" si="880"/>
        <v>506</v>
      </c>
      <c r="C4198" s="7" t="s">
        <v>2318</v>
      </c>
      <c r="D4198" s="7" t="s">
        <v>3187</v>
      </c>
      <c r="E4198" s="7" t="str">
        <f>"蔡典伊"</f>
        <v>蔡典伊</v>
      </c>
      <c r="F4198" s="7" t="str">
        <f t="shared" si="879"/>
        <v>女</v>
      </c>
      <c r="G4198" s="7" t="s">
        <v>2689</v>
      </c>
      <c r="H4198" s="8"/>
    </row>
    <row r="4199" ht="25" customHeight="1" spans="1:8">
      <c r="A4199" s="6">
        <v>4197</v>
      </c>
      <c r="B4199" s="7" t="str">
        <f t="shared" si="880"/>
        <v>506</v>
      </c>
      <c r="C4199" s="7" t="s">
        <v>2318</v>
      </c>
      <c r="D4199" s="7" t="s">
        <v>3187</v>
      </c>
      <c r="E4199" s="7" t="str">
        <f>"方盈"</f>
        <v>方盈</v>
      </c>
      <c r="F4199" s="7" t="str">
        <f t="shared" si="879"/>
        <v>女</v>
      </c>
      <c r="G4199" s="7" t="s">
        <v>3402</v>
      </c>
      <c r="H4199" s="8"/>
    </row>
    <row r="4200" ht="25" customHeight="1" spans="1:8">
      <c r="A4200" s="6">
        <v>4198</v>
      </c>
      <c r="B4200" s="7" t="str">
        <f t="shared" si="880"/>
        <v>506</v>
      </c>
      <c r="C4200" s="7" t="s">
        <v>2318</v>
      </c>
      <c r="D4200" s="7" t="s">
        <v>3187</v>
      </c>
      <c r="E4200" s="7" t="str">
        <f>"陆艺卿"</f>
        <v>陆艺卿</v>
      </c>
      <c r="F4200" s="7" t="str">
        <f t="shared" si="879"/>
        <v>女</v>
      </c>
      <c r="G4200" s="7" t="s">
        <v>3403</v>
      </c>
      <c r="H4200" s="8"/>
    </row>
    <row r="4201" ht="25" customHeight="1" spans="1:8">
      <c r="A4201" s="6">
        <v>4199</v>
      </c>
      <c r="B4201" s="7" t="str">
        <f t="shared" si="880"/>
        <v>506</v>
      </c>
      <c r="C4201" s="7" t="s">
        <v>2318</v>
      </c>
      <c r="D4201" s="7" t="s">
        <v>3187</v>
      </c>
      <c r="E4201" s="7" t="str">
        <f>"麦佳欣"</f>
        <v>麦佳欣</v>
      </c>
      <c r="F4201" s="7" t="str">
        <f t="shared" si="879"/>
        <v>女</v>
      </c>
      <c r="G4201" s="7" t="s">
        <v>2365</v>
      </c>
      <c r="H4201" s="8"/>
    </row>
    <row r="4202" ht="25" customHeight="1" spans="1:8">
      <c r="A4202" s="6">
        <v>4200</v>
      </c>
      <c r="B4202" s="7" t="str">
        <f t="shared" si="880"/>
        <v>506</v>
      </c>
      <c r="C4202" s="7" t="s">
        <v>2318</v>
      </c>
      <c r="D4202" s="7" t="s">
        <v>3187</v>
      </c>
      <c r="E4202" s="7" t="str">
        <f>"叶佳萱"</f>
        <v>叶佳萱</v>
      </c>
      <c r="F4202" s="7" t="str">
        <f t="shared" si="879"/>
        <v>女</v>
      </c>
      <c r="G4202" s="7" t="s">
        <v>3404</v>
      </c>
      <c r="H4202" s="8"/>
    </row>
    <row r="4203" ht="25" customHeight="1" spans="1:8">
      <c r="A4203" s="6">
        <v>4201</v>
      </c>
      <c r="B4203" s="7" t="str">
        <f t="shared" si="880"/>
        <v>506</v>
      </c>
      <c r="C4203" s="7" t="s">
        <v>2318</v>
      </c>
      <c r="D4203" s="7" t="s">
        <v>3187</v>
      </c>
      <c r="E4203" s="7" t="str">
        <f>"吴楷"</f>
        <v>吴楷</v>
      </c>
      <c r="F4203" s="7" t="str">
        <f t="shared" si="879"/>
        <v>女</v>
      </c>
      <c r="G4203" s="7" t="s">
        <v>151</v>
      </c>
      <c r="H4203" s="8"/>
    </row>
    <row r="4204" ht="25" customHeight="1" spans="1:8">
      <c r="A4204" s="6">
        <v>4202</v>
      </c>
      <c r="B4204" s="7" t="str">
        <f t="shared" si="880"/>
        <v>506</v>
      </c>
      <c r="C4204" s="7" t="s">
        <v>2318</v>
      </c>
      <c r="D4204" s="7" t="s">
        <v>3187</v>
      </c>
      <c r="E4204" s="7" t="str">
        <f>"李锦丽"</f>
        <v>李锦丽</v>
      </c>
      <c r="F4204" s="7" t="str">
        <f t="shared" si="879"/>
        <v>女</v>
      </c>
      <c r="G4204" s="7" t="s">
        <v>3405</v>
      </c>
      <c r="H4204" s="8"/>
    </row>
    <row r="4205" ht="25" customHeight="1" spans="1:8">
      <c r="A4205" s="6">
        <v>4203</v>
      </c>
      <c r="B4205" s="7" t="str">
        <f t="shared" si="880"/>
        <v>506</v>
      </c>
      <c r="C4205" s="7" t="s">
        <v>2318</v>
      </c>
      <c r="D4205" s="7" t="s">
        <v>3187</v>
      </c>
      <c r="E4205" s="7" t="str">
        <f>"王菲菲"</f>
        <v>王菲菲</v>
      </c>
      <c r="F4205" s="7" t="str">
        <f t="shared" si="879"/>
        <v>女</v>
      </c>
      <c r="G4205" s="7" t="s">
        <v>1534</v>
      </c>
      <c r="H4205" s="8"/>
    </row>
    <row r="4206" ht="25" customHeight="1" spans="1:8">
      <c r="A4206" s="6">
        <v>4204</v>
      </c>
      <c r="B4206" s="7" t="str">
        <f t="shared" si="880"/>
        <v>506</v>
      </c>
      <c r="C4206" s="7" t="s">
        <v>2318</v>
      </c>
      <c r="D4206" s="7" t="s">
        <v>3187</v>
      </c>
      <c r="E4206" s="7" t="str">
        <f>"周桂香"</f>
        <v>周桂香</v>
      </c>
      <c r="F4206" s="7" t="str">
        <f t="shared" si="879"/>
        <v>女</v>
      </c>
      <c r="G4206" s="7" t="s">
        <v>454</v>
      </c>
      <c r="H4206" s="8"/>
    </row>
    <row r="4207" ht="25" customHeight="1" spans="1:8">
      <c r="A4207" s="6">
        <v>4205</v>
      </c>
      <c r="B4207" s="7" t="str">
        <f t="shared" si="880"/>
        <v>506</v>
      </c>
      <c r="C4207" s="7" t="s">
        <v>2318</v>
      </c>
      <c r="D4207" s="7" t="s">
        <v>3187</v>
      </c>
      <c r="E4207" s="7" t="str">
        <f>"黄宜婷"</f>
        <v>黄宜婷</v>
      </c>
      <c r="F4207" s="7" t="str">
        <f t="shared" si="879"/>
        <v>女</v>
      </c>
      <c r="G4207" s="7" t="s">
        <v>3406</v>
      </c>
      <c r="H4207" s="8"/>
    </row>
    <row r="4208" ht="25" customHeight="1" spans="1:8">
      <c r="A4208" s="6">
        <v>4206</v>
      </c>
      <c r="B4208" s="7" t="str">
        <f t="shared" si="880"/>
        <v>506</v>
      </c>
      <c r="C4208" s="7" t="s">
        <v>2318</v>
      </c>
      <c r="D4208" s="7" t="s">
        <v>3187</v>
      </c>
      <c r="E4208" s="7" t="str">
        <f>"吴淑珍"</f>
        <v>吴淑珍</v>
      </c>
      <c r="F4208" s="7" t="str">
        <f t="shared" si="879"/>
        <v>女</v>
      </c>
      <c r="G4208" s="7" t="s">
        <v>3407</v>
      </c>
      <c r="H4208" s="8"/>
    </row>
    <row r="4209" ht="25" customHeight="1" spans="1:8">
      <c r="A4209" s="6">
        <v>4207</v>
      </c>
      <c r="B4209" s="7" t="str">
        <f t="shared" si="880"/>
        <v>506</v>
      </c>
      <c r="C4209" s="7" t="s">
        <v>2318</v>
      </c>
      <c r="D4209" s="7" t="s">
        <v>3187</v>
      </c>
      <c r="E4209" s="7" t="str">
        <f>"许佳莉"</f>
        <v>许佳莉</v>
      </c>
      <c r="F4209" s="7" t="str">
        <f t="shared" si="879"/>
        <v>女</v>
      </c>
      <c r="G4209" s="7" t="s">
        <v>3408</v>
      </c>
      <c r="H4209" s="8"/>
    </row>
    <row r="4210" ht="25" customHeight="1" spans="1:8">
      <c r="A4210" s="6">
        <v>4208</v>
      </c>
      <c r="B4210" s="7" t="str">
        <f t="shared" si="880"/>
        <v>506</v>
      </c>
      <c r="C4210" s="7" t="s">
        <v>2318</v>
      </c>
      <c r="D4210" s="7" t="s">
        <v>3187</v>
      </c>
      <c r="E4210" s="7" t="str">
        <f>"陈怡琛"</f>
        <v>陈怡琛</v>
      </c>
      <c r="F4210" s="7" t="str">
        <f t="shared" si="879"/>
        <v>女</v>
      </c>
      <c r="G4210" s="7" t="s">
        <v>1041</v>
      </c>
      <c r="H4210" s="8"/>
    </row>
    <row r="4211" ht="25" customHeight="1" spans="1:8">
      <c r="A4211" s="6">
        <v>4209</v>
      </c>
      <c r="B4211" s="7" t="str">
        <f t="shared" si="880"/>
        <v>506</v>
      </c>
      <c r="C4211" s="7" t="s">
        <v>2318</v>
      </c>
      <c r="D4211" s="7" t="s">
        <v>3187</v>
      </c>
      <c r="E4211" s="7" t="str">
        <f>"符蕾蕾"</f>
        <v>符蕾蕾</v>
      </c>
      <c r="F4211" s="7" t="str">
        <f t="shared" si="879"/>
        <v>女</v>
      </c>
      <c r="G4211" s="7" t="s">
        <v>2023</v>
      </c>
      <c r="H4211" s="8"/>
    </row>
    <row r="4212" ht="25" customHeight="1" spans="1:8">
      <c r="A4212" s="6">
        <v>4210</v>
      </c>
      <c r="B4212" s="7" t="str">
        <f t="shared" si="880"/>
        <v>506</v>
      </c>
      <c r="C4212" s="7" t="s">
        <v>2318</v>
      </c>
      <c r="D4212" s="7" t="s">
        <v>3187</v>
      </c>
      <c r="E4212" s="7" t="str">
        <f>"肖丽敏"</f>
        <v>肖丽敏</v>
      </c>
      <c r="F4212" s="7" t="str">
        <f t="shared" si="879"/>
        <v>女</v>
      </c>
      <c r="G4212" s="7" t="s">
        <v>3409</v>
      </c>
      <c r="H4212" s="8"/>
    </row>
    <row r="4213" ht="25" customHeight="1" spans="1:8">
      <c r="A4213" s="6">
        <v>4211</v>
      </c>
      <c r="B4213" s="7" t="str">
        <f t="shared" si="880"/>
        <v>506</v>
      </c>
      <c r="C4213" s="7" t="s">
        <v>2318</v>
      </c>
      <c r="D4213" s="7" t="s">
        <v>3187</v>
      </c>
      <c r="E4213" s="7" t="str">
        <f>"罗佳岚"</f>
        <v>罗佳岚</v>
      </c>
      <c r="F4213" s="7" t="str">
        <f t="shared" si="879"/>
        <v>女</v>
      </c>
      <c r="G4213" s="7" t="s">
        <v>1986</v>
      </c>
      <c r="H4213" s="8"/>
    </row>
    <row r="4214" ht="25" customHeight="1" spans="1:8">
      <c r="A4214" s="6">
        <v>4212</v>
      </c>
      <c r="B4214" s="7" t="str">
        <f t="shared" ref="B4214:B4248" si="881">"507"</f>
        <v>507</v>
      </c>
      <c r="C4214" s="7" t="s">
        <v>2305</v>
      </c>
      <c r="D4214" s="7" t="s">
        <v>3187</v>
      </c>
      <c r="E4214" s="7" t="str">
        <f>"李力伟"</f>
        <v>李力伟</v>
      </c>
      <c r="F4214" s="7" t="str">
        <f t="shared" ref="F4214:F4219" si="882">"男"</f>
        <v>男</v>
      </c>
      <c r="G4214" s="7" t="s">
        <v>3410</v>
      </c>
      <c r="H4214" s="8"/>
    </row>
    <row r="4215" ht="25" customHeight="1" spans="1:8">
      <c r="A4215" s="6">
        <v>4213</v>
      </c>
      <c r="B4215" s="7" t="str">
        <f t="shared" si="881"/>
        <v>507</v>
      </c>
      <c r="C4215" s="7" t="s">
        <v>2305</v>
      </c>
      <c r="D4215" s="7" t="s">
        <v>3187</v>
      </c>
      <c r="E4215" s="7" t="str">
        <f>"王晓娉"</f>
        <v>王晓娉</v>
      </c>
      <c r="F4215" s="7" t="str">
        <f t="shared" ref="F4215:F4218" si="883">"女"</f>
        <v>女</v>
      </c>
      <c r="G4215" s="7" t="s">
        <v>3411</v>
      </c>
      <c r="H4215" s="8"/>
    </row>
    <row r="4216" ht="25" customHeight="1" spans="1:8">
      <c r="A4216" s="6">
        <v>4214</v>
      </c>
      <c r="B4216" s="7" t="str">
        <f t="shared" si="881"/>
        <v>507</v>
      </c>
      <c r="C4216" s="7" t="s">
        <v>2305</v>
      </c>
      <c r="D4216" s="7" t="s">
        <v>3187</v>
      </c>
      <c r="E4216" s="7" t="str">
        <f>"于吉祥"</f>
        <v>于吉祥</v>
      </c>
      <c r="F4216" s="7" t="str">
        <f t="shared" si="882"/>
        <v>男</v>
      </c>
      <c r="G4216" s="7" t="s">
        <v>3412</v>
      </c>
      <c r="H4216" s="8"/>
    </row>
    <row r="4217" ht="25" customHeight="1" spans="1:8">
      <c r="A4217" s="6">
        <v>4215</v>
      </c>
      <c r="B4217" s="7" t="str">
        <f t="shared" si="881"/>
        <v>507</v>
      </c>
      <c r="C4217" s="7" t="s">
        <v>2305</v>
      </c>
      <c r="D4217" s="7" t="s">
        <v>3187</v>
      </c>
      <c r="E4217" s="7" t="str">
        <f>"洪慧琳"</f>
        <v>洪慧琳</v>
      </c>
      <c r="F4217" s="7" t="str">
        <f t="shared" si="883"/>
        <v>女</v>
      </c>
      <c r="G4217" s="7" t="s">
        <v>3413</v>
      </c>
      <c r="H4217" s="8"/>
    </row>
    <row r="4218" ht="25" customHeight="1" spans="1:8">
      <c r="A4218" s="6">
        <v>4216</v>
      </c>
      <c r="B4218" s="7" t="str">
        <f t="shared" si="881"/>
        <v>507</v>
      </c>
      <c r="C4218" s="7" t="s">
        <v>2305</v>
      </c>
      <c r="D4218" s="7" t="s">
        <v>3187</v>
      </c>
      <c r="E4218" s="7" t="str">
        <f>"薛景月"</f>
        <v>薛景月</v>
      </c>
      <c r="F4218" s="7" t="str">
        <f t="shared" si="883"/>
        <v>女</v>
      </c>
      <c r="G4218" s="7" t="s">
        <v>3414</v>
      </c>
      <c r="H4218" s="8"/>
    </row>
    <row r="4219" ht="25" customHeight="1" spans="1:8">
      <c r="A4219" s="6">
        <v>4217</v>
      </c>
      <c r="B4219" s="7" t="str">
        <f t="shared" si="881"/>
        <v>507</v>
      </c>
      <c r="C4219" s="7" t="s">
        <v>2305</v>
      </c>
      <c r="D4219" s="7" t="s">
        <v>3187</v>
      </c>
      <c r="E4219" s="7" t="str">
        <f>"谢伟杰"</f>
        <v>谢伟杰</v>
      </c>
      <c r="F4219" s="7" t="str">
        <f t="shared" si="882"/>
        <v>男</v>
      </c>
      <c r="G4219" s="7" t="s">
        <v>3415</v>
      </c>
      <c r="H4219" s="8"/>
    </row>
    <row r="4220" ht="25" customHeight="1" spans="1:8">
      <c r="A4220" s="6">
        <v>4218</v>
      </c>
      <c r="B4220" s="7" t="str">
        <f t="shared" si="881"/>
        <v>507</v>
      </c>
      <c r="C4220" s="7" t="s">
        <v>2305</v>
      </c>
      <c r="D4220" s="7" t="s">
        <v>3187</v>
      </c>
      <c r="E4220" s="7" t="str">
        <f>"史佳怡"</f>
        <v>史佳怡</v>
      </c>
      <c r="F4220" s="7" t="str">
        <f t="shared" ref="F4220:F4225" si="884">"女"</f>
        <v>女</v>
      </c>
      <c r="G4220" s="7" t="s">
        <v>3416</v>
      </c>
      <c r="H4220" s="8"/>
    </row>
    <row r="4221" ht="25" customHeight="1" spans="1:8">
      <c r="A4221" s="6">
        <v>4219</v>
      </c>
      <c r="B4221" s="7" t="str">
        <f t="shared" si="881"/>
        <v>507</v>
      </c>
      <c r="C4221" s="7" t="s">
        <v>2305</v>
      </c>
      <c r="D4221" s="7" t="s">
        <v>3187</v>
      </c>
      <c r="E4221" s="7" t="str">
        <f>"何长燕"</f>
        <v>何长燕</v>
      </c>
      <c r="F4221" s="7" t="str">
        <f t="shared" si="884"/>
        <v>女</v>
      </c>
      <c r="G4221" s="7" t="s">
        <v>3417</v>
      </c>
      <c r="H4221" s="8"/>
    </row>
    <row r="4222" ht="25" customHeight="1" spans="1:8">
      <c r="A4222" s="6">
        <v>4220</v>
      </c>
      <c r="B4222" s="7" t="str">
        <f t="shared" si="881"/>
        <v>507</v>
      </c>
      <c r="C4222" s="7" t="s">
        <v>2305</v>
      </c>
      <c r="D4222" s="7" t="s">
        <v>3187</v>
      </c>
      <c r="E4222" s="7" t="str">
        <f>"罗紫莹"</f>
        <v>罗紫莹</v>
      </c>
      <c r="F4222" s="7" t="str">
        <f t="shared" si="884"/>
        <v>女</v>
      </c>
      <c r="G4222" s="7" t="s">
        <v>3418</v>
      </c>
      <c r="H4222" s="8"/>
    </row>
    <row r="4223" ht="25" customHeight="1" spans="1:8">
      <c r="A4223" s="6">
        <v>4221</v>
      </c>
      <c r="B4223" s="7" t="str">
        <f t="shared" si="881"/>
        <v>507</v>
      </c>
      <c r="C4223" s="7" t="s">
        <v>2305</v>
      </c>
      <c r="D4223" s="7" t="s">
        <v>3187</v>
      </c>
      <c r="E4223" s="7" t="str">
        <f>"韦海波"</f>
        <v>韦海波</v>
      </c>
      <c r="F4223" s="7" t="str">
        <f t="shared" si="884"/>
        <v>女</v>
      </c>
      <c r="G4223" s="7" t="s">
        <v>507</v>
      </c>
      <c r="H4223" s="8"/>
    </row>
    <row r="4224" ht="25" customHeight="1" spans="1:8">
      <c r="A4224" s="6">
        <v>4222</v>
      </c>
      <c r="B4224" s="7" t="str">
        <f t="shared" si="881"/>
        <v>507</v>
      </c>
      <c r="C4224" s="7" t="s">
        <v>2305</v>
      </c>
      <c r="D4224" s="7" t="s">
        <v>3187</v>
      </c>
      <c r="E4224" s="7" t="str">
        <f>"官希涯"</f>
        <v>官希涯</v>
      </c>
      <c r="F4224" s="7" t="str">
        <f t="shared" si="884"/>
        <v>女</v>
      </c>
      <c r="G4224" s="7" t="s">
        <v>3419</v>
      </c>
      <c r="H4224" s="8"/>
    </row>
    <row r="4225" ht="25" customHeight="1" spans="1:8">
      <c r="A4225" s="6">
        <v>4223</v>
      </c>
      <c r="B4225" s="7" t="str">
        <f t="shared" si="881"/>
        <v>507</v>
      </c>
      <c r="C4225" s="7" t="s">
        <v>2305</v>
      </c>
      <c r="D4225" s="7" t="s">
        <v>3187</v>
      </c>
      <c r="E4225" s="7" t="str">
        <f>"魏斌"</f>
        <v>魏斌</v>
      </c>
      <c r="F4225" s="7" t="str">
        <f t="shared" si="884"/>
        <v>女</v>
      </c>
      <c r="G4225" s="7" t="s">
        <v>3420</v>
      </c>
      <c r="H4225" s="8"/>
    </row>
    <row r="4226" ht="25" customHeight="1" spans="1:8">
      <c r="A4226" s="6">
        <v>4224</v>
      </c>
      <c r="B4226" s="7" t="str">
        <f t="shared" si="881"/>
        <v>507</v>
      </c>
      <c r="C4226" s="7" t="s">
        <v>2305</v>
      </c>
      <c r="D4226" s="7" t="s">
        <v>3187</v>
      </c>
      <c r="E4226" s="7" t="str">
        <f>"王万里"</f>
        <v>王万里</v>
      </c>
      <c r="F4226" s="7" t="str">
        <f>"男"</f>
        <v>男</v>
      </c>
      <c r="G4226" s="7" t="s">
        <v>3421</v>
      </c>
      <c r="H4226" s="8"/>
    </row>
    <row r="4227" ht="25" customHeight="1" spans="1:8">
      <c r="A4227" s="6">
        <v>4225</v>
      </c>
      <c r="B4227" s="7" t="str">
        <f t="shared" si="881"/>
        <v>507</v>
      </c>
      <c r="C4227" s="7" t="s">
        <v>2305</v>
      </c>
      <c r="D4227" s="7" t="s">
        <v>3187</v>
      </c>
      <c r="E4227" s="7" t="str">
        <f>"郭映"</f>
        <v>郭映</v>
      </c>
      <c r="F4227" s="7" t="str">
        <f t="shared" ref="F4227:F4232" si="885">"女"</f>
        <v>女</v>
      </c>
      <c r="G4227" s="7" t="s">
        <v>3422</v>
      </c>
      <c r="H4227" s="8"/>
    </row>
    <row r="4228" ht="25" customHeight="1" spans="1:8">
      <c r="A4228" s="6">
        <v>4226</v>
      </c>
      <c r="B4228" s="7" t="str">
        <f t="shared" si="881"/>
        <v>507</v>
      </c>
      <c r="C4228" s="7" t="s">
        <v>2305</v>
      </c>
      <c r="D4228" s="7" t="s">
        <v>3187</v>
      </c>
      <c r="E4228" s="7" t="str">
        <f>"关春美"</f>
        <v>关春美</v>
      </c>
      <c r="F4228" s="7" t="str">
        <f t="shared" si="885"/>
        <v>女</v>
      </c>
      <c r="G4228" s="7" t="s">
        <v>1587</v>
      </c>
      <c r="H4228" s="8"/>
    </row>
    <row r="4229" ht="25" customHeight="1" spans="1:8">
      <c r="A4229" s="6">
        <v>4227</v>
      </c>
      <c r="B4229" s="7" t="str">
        <f t="shared" si="881"/>
        <v>507</v>
      </c>
      <c r="C4229" s="7" t="s">
        <v>2305</v>
      </c>
      <c r="D4229" s="7" t="s">
        <v>3187</v>
      </c>
      <c r="E4229" s="7" t="str">
        <f>"孙碧蓝"</f>
        <v>孙碧蓝</v>
      </c>
      <c r="F4229" s="7" t="str">
        <f t="shared" si="885"/>
        <v>女</v>
      </c>
      <c r="G4229" s="7" t="s">
        <v>1985</v>
      </c>
      <c r="H4229" s="8"/>
    </row>
    <row r="4230" ht="25" customHeight="1" spans="1:8">
      <c r="A4230" s="6">
        <v>4228</v>
      </c>
      <c r="B4230" s="7" t="str">
        <f t="shared" si="881"/>
        <v>507</v>
      </c>
      <c r="C4230" s="7" t="s">
        <v>2305</v>
      </c>
      <c r="D4230" s="7" t="s">
        <v>3187</v>
      </c>
      <c r="E4230" s="7" t="str">
        <f>"符超艳"</f>
        <v>符超艳</v>
      </c>
      <c r="F4230" s="7" t="str">
        <f t="shared" si="885"/>
        <v>女</v>
      </c>
      <c r="G4230" s="7" t="s">
        <v>3423</v>
      </c>
      <c r="H4230" s="8"/>
    </row>
    <row r="4231" ht="25" customHeight="1" spans="1:8">
      <c r="A4231" s="6">
        <v>4229</v>
      </c>
      <c r="B4231" s="7" t="str">
        <f t="shared" si="881"/>
        <v>507</v>
      </c>
      <c r="C4231" s="7" t="s">
        <v>2305</v>
      </c>
      <c r="D4231" s="7" t="s">
        <v>3187</v>
      </c>
      <c r="E4231" s="7" t="str">
        <f>"李洪莉"</f>
        <v>李洪莉</v>
      </c>
      <c r="F4231" s="7" t="str">
        <f t="shared" si="885"/>
        <v>女</v>
      </c>
      <c r="G4231" s="7" t="s">
        <v>3424</v>
      </c>
      <c r="H4231" s="8"/>
    </row>
    <row r="4232" ht="25" customHeight="1" spans="1:8">
      <c r="A4232" s="6">
        <v>4230</v>
      </c>
      <c r="B4232" s="7" t="str">
        <f t="shared" si="881"/>
        <v>507</v>
      </c>
      <c r="C4232" s="7" t="s">
        <v>2305</v>
      </c>
      <c r="D4232" s="7" t="s">
        <v>3187</v>
      </c>
      <c r="E4232" s="7" t="str">
        <f>"王身旅"</f>
        <v>王身旅</v>
      </c>
      <c r="F4232" s="7" t="str">
        <f t="shared" si="885"/>
        <v>女</v>
      </c>
      <c r="G4232" s="7" t="s">
        <v>552</v>
      </c>
      <c r="H4232" s="8"/>
    </row>
    <row r="4233" ht="25" customHeight="1" spans="1:8">
      <c r="A4233" s="6">
        <v>4231</v>
      </c>
      <c r="B4233" s="7" t="str">
        <f t="shared" si="881"/>
        <v>507</v>
      </c>
      <c r="C4233" s="7" t="s">
        <v>2305</v>
      </c>
      <c r="D4233" s="7" t="s">
        <v>3187</v>
      </c>
      <c r="E4233" s="7" t="str">
        <f>"谭天俊"</f>
        <v>谭天俊</v>
      </c>
      <c r="F4233" s="7" t="str">
        <f t="shared" ref="F4233:F4238" si="886">"男"</f>
        <v>男</v>
      </c>
      <c r="G4233" s="7" t="s">
        <v>1445</v>
      </c>
      <c r="H4233" s="8"/>
    </row>
    <row r="4234" ht="25" customHeight="1" spans="1:8">
      <c r="A4234" s="6">
        <v>4232</v>
      </c>
      <c r="B4234" s="7" t="str">
        <f t="shared" si="881"/>
        <v>507</v>
      </c>
      <c r="C4234" s="7" t="s">
        <v>2305</v>
      </c>
      <c r="D4234" s="7" t="s">
        <v>3187</v>
      </c>
      <c r="E4234" s="7" t="str">
        <f>"李天智"</f>
        <v>李天智</v>
      </c>
      <c r="F4234" s="7" t="str">
        <f t="shared" si="886"/>
        <v>男</v>
      </c>
      <c r="G4234" s="7" t="s">
        <v>3425</v>
      </c>
      <c r="H4234" s="8"/>
    </row>
    <row r="4235" ht="25" customHeight="1" spans="1:8">
      <c r="A4235" s="6">
        <v>4233</v>
      </c>
      <c r="B4235" s="7" t="str">
        <f t="shared" si="881"/>
        <v>507</v>
      </c>
      <c r="C4235" s="7" t="s">
        <v>2305</v>
      </c>
      <c r="D4235" s="7" t="s">
        <v>3187</v>
      </c>
      <c r="E4235" s="7" t="str">
        <f>"桂佳欣"</f>
        <v>桂佳欣</v>
      </c>
      <c r="F4235" s="7" t="str">
        <f t="shared" ref="F4235:F4237" si="887">"女"</f>
        <v>女</v>
      </c>
      <c r="G4235" s="7" t="s">
        <v>1076</v>
      </c>
      <c r="H4235" s="8"/>
    </row>
    <row r="4236" ht="25" customHeight="1" spans="1:8">
      <c r="A4236" s="6">
        <v>4234</v>
      </c>
      <c r="B4236" s="7" t="str">
        <f t="shared" si="881"/>
        <v>507</v>
      </c>
      <c r="C4236" s="7" t="s">
        <v>2305</v>
      </c>
      <c r="D4236" s="7" t="s">
        <v>3187</v>
      </c>
      <c r="E4236" s="7" t="str">
        <f>"杨佳怡"</f>
        <v>杨佳怡</v>
      </c>
      <c r="F4236" s="7" t="str">
        <f t="shared" si="887"/>
        <v>女</v>
      </c>
      <c r="G4236" s="7" t="s">
        <v>3426</v>
      </c>
      <c r="H4236" s="8"/>
    </row>
    <row r="4237" ht="25" customHeight="1" spans="1:8">
      <c r="A4237" s="6">
        <v>4235</v>
      </c>
      <c r="B4237" s="7" t="str">
        <f t="shared" si="881"/>
        <v>507</v>
      </c>
      <c r="C4237" s="7" t="s">
        <v>2305</v>
      </c>
      <c r="D4237" s="7" t="s">
        <v>3187</v>
      </c>
      <c r="E4237" s="7" t="str">
        <f>"李欣欣"</f>
        <v>李欣欣</v>
      </c>
      <c r="F4237" s="7" t="str">
        <f t="shared" si="887"/>
        <v>女</v>
      </c>
      <c r="G4237" s="7" t="s">
        <v>1785</v>
      </c>
      <c r="H4237" s="8"/>
    </row>
    <row r="4238" ht="25" customHeight="1" spans="1:8">
      <c r="A4238" s="6">
        <v>4236</v>
      </c>
      <c r="B4238" s="7" t="str">
        <f t="shared" si="881"/>
        <v>507</v>
      </c>
      <c r="C4238" s="7" t="s">
        <v>2305</v>
      </c>
      <c r="D4238" s="7" t="s">
        <v>3187</v>
      </c>
      <c r="E4238" s="7" t="str">
        <f>"胡俊杰"</f>
        <v>胡俊杰</v>
      </c>
      <c r="F4238" s="7" t="str">
        <f t="shared" si="886"/>
        <v>男</v>
      </c>
      <c r="G4238" s="7" t="s">
        <v>3427</v>
      </c>
      <c r="H4238" s="8"/>
    </row>
    <row r="4239" ht="25" customHeight="1" spans="1:8">
      <c r="A4239" s="6">
        <v>4237</v>
      </c>
      <c r="B4239" s="7" t="str">
        <f t="shared" si="881"/>
        <v>507</v>
      </c>
      <c r="C4239" s="7" t="s">
        <v>2305</v>
      </c>
      <c r="D4239" s="7" t="s">
        <v>3187</v>
      </c>
      <c r="E4239" s="7" t="str">
        <f>"黎灵婷"</f>
        <v>黎灵婷</v>
      </c>
      <c r="F4239" s="7" t="str">
        <f t="shared" ref="F4239:F4261" si="888">"女"</f>
        <v>女</v>
      </c>
      <c r="G4239" s="7" t="s">
        <v>2609</v>
      </c>
      <c r="H4239" s="8"/>
    </row>
    <row r="4240" ht="25" customHeight="1" spans="1:8">
      <c r="A4240" s="6">
        <v>4238</v>
      </c>
      <c r="B4240" s="7" t="str">
        <f t="shared" si="881"/>
        <v>507</v>
      </c>
      <c r="C4240" s="7" t="s">
        <v>2305</v>
      </c>
      <c r="D4240" s="7" t="s">
        <v>3187</v>
      </c>
      <c r="E4240" s="7" t="str">
        <f>"黎宁宁"</f>
        <v>黎宁宁</v>
      </c>
      <c r="F4240" s="7" t="str">
        <f t="shared" si="888"/>
        <v>女</v>
      </c>
      <c r="G4240" s="7" t="s">
        <v>195</v>
      </c>
      <c r="H4240" s="8"/>
    </row>
    <row r="4241" ht="25" customHeight="1" spans="1:8">
      <c r="A4241" s="6">
        <v>4239</v>
      </c>
      <c r="B4241" s="7" t="str">
        <f t="shared" si="881"/>
        <v>507</v>
      </c>
      <c r="C4241" s="7" t="s">
        <v>2305</v>
      </c>
      <c r="D4241" s="7" t="s">
        <v>3187</v>
      </c>
      <c r="E4241" s="7" t="str">
        <f>"符彬彬"</f>
        <v>符彬彬</v>
      </c>
      <c r="F4241" s="7" t="str">
        <f t="shared" si="888"/>
        <v>女</v>
      </c>
      <c r="G4241" s="7" t="s">
        <v>3428</v>
      </c>
      <c r="H4241" s="8"/>
    </row>
    <row r="4242" ht="25" customHeight="1" spans="1:8">
      <c r="A4242" s="6">
        <v>4240</v>
      </c>
      <c r="B4242" s="7" t="str">
        <f t="shared" si="881"/>
        <v>507</v>
      </c>
      <c r="C4242" s="7" t="s">
        <v>2305</v>
      </c>
      <c r="D4242" s="7" t="s">
        <v>3187</v>
      </c>
      <c r="E4242" s="7" t="str">
        <f>"林瑜"</f>
        <v>林瑜</v>
      </c>
      <c r="F4242" s="7" t="str">
        <f t="shared" si="888"/>
        <v>女</v>
      </c>
      <c r="G4242" s="7" t="s">
        <v>3429</v>
      </c>
      <c r="H4242" s="8"/>
    </row>
    <row r="4243" ht="25" customHeight="1" spans="1:8">
      <c r="A4243" s="6">
        <v>4241</v>
      </c>
      <c r="B4243" s="7" t="str">
        <f t="shared" si="881"/>
        <v>507</v>
      </c>
      <c r="C4243" s="7" t="s">
        <v>2305</v>
      </c>
      <c r="D4243" s="7" t="s">
        <v>3187</v>
      </c>
      <c r="E4243" s="7" t="str">
        <f>"陈怡"</f>
        <v>陈怡</v>
      </c>
      <c r="F4243" s="7" t="str">
        <f t="shared" si="888"/>
        <v>女</v>
      </c>
      <c r="G4243" s="7" t="s">
        <v>1355</v>
      </c>
      <c r="H4243" s="8"/>
    </row>
    <row r="4244" ht="25" customHeight="1" spans="1:8">
      <c r="A4244" s="6">
        <v>4242</v>
      </c>
      <c r="B4244" s="7" t="str">
        <f t="shared" si="881"/>
        <v>507</v>
      </c>
      <c r="C4244" s="7" t="s">
        <v>2305</v>
      </c>
      <c r="D4244" s="7" t="s">
        <v>3187</v>
      </c>
      <c r="E4244" s="7" t="str">
        <f>"许兰香"</f>
        <v>许兰香</v>
      </c>
      <c r="F4244" s="7" t="str">
        <f t="shared" si="888"/>
        <v>女</v>
      </c>
      <c r="G4244" s="7" t="s">
        <v>3430</v>
      </c>
      <c r="H4244" s="8"/>
    </row>
    <row r="4245" ht="25" customHeight="1" spans="1:8">
      <c r="A4245" s="6">
        <v>4243</v>
      </c>
      <c r="B4245" s="7" t="str">
        <f t="shared" si="881"/>
        <v>507</v>
      </c>
      <c r="C4245" s="7" t="s">
        <v>2305</v>
      </c>
      <c r="D4245" s="7" t="s">
        <v>3187</v>
      </c>
      <c r="E4245" s="7" t="str">
        <f>"杜福会"</f>
        <v>杜福会</v>
      </c>
      <c r="F4245" s="7" t="str">
        <f t="shared" si="888"/>
        <v>女</v>
      </c>
      <c r="G4245" s="7" t="s">
        <v>3431</v>
      </c>
      <c r="H4245" s="8"/>
    </row>
    <row r="4246" ht="25" customHeight="1" spans="1:8">
      <c r="A4246" s="6">
        <v>4244</v>
      </c>
      <c r="B4246" s="7" t="str">
        <f t="shared" si="881"/>
        <v>507</v>
      </c>
      <c r="C4246" s="7" t="s">
        <v>2305</v>
      </c>
      <c r="D4246" s="7" t="s">
        <v>3187</v>
      </c>
      <c r="E4246" s="7" t="str">
        <f>"秦小棉"</f>
        <v>秦小棉</v>
      </c>
      <c r="F4246" s="7" t="str">
        <f t="shared" si="888"/>
        <v>女</v>
      </c>
      <c r="G4246" s="7" t="s">
        <v>1375</v>
      </c>
      <c r="H4246" s="8"/>
    </row>
    <row r="4247" ht="25" customHeight="1" spans="1:8">
      <c r="A4247" s="6">
        <v>4245</v>
      </c>
      <c r="B4247" s="7" t="str">
        <f t="shared" si="881"/>
        <v>507</v>
      </c>
      <c r="C4247" s="7" t="s">
        <v>2305</v>
      </c>
      <c r="D4247" s="7" t="s">
        <v>3187</v>
      </c>
      <c r="E4247" s="7" t="str">
        <f>"关立嘉"</f>
        <v>关立嘉</v>
      </c>
      <c r="F4247" s="7" t="str">
        <f t="shared" si="888"/>
        <v>女</v>
      </c>
      <c r="G4247" s="7" t="s">
        <v>3432</v>
      </c>
      <c r="H4247" s="8"/>
    </row>
    <row r="4248" ht="25" customHeight="1" spans="1:8">
      <c r="A4248" s="6">
        <v>4246</v>
      </c>
      <c r="B4248" s="7" t="str">
        <f t="shared" si="881"/>
        <v>507</v>
      </c>
      <c r="C4248" s="7" t="s">
        <v>2305</v>
      </c>
      <c r="D4248" s="7" t="s">
        <v>3187</v>
      </c>
      <c r="E4248" s="7" t="str">
        <f>"邵心怡"</f>
        <v>邵心怡</v>
      </c>
      <c r="F4248" s="7" t="str">
        <f t="shared" si="888"/>
        <v>女</v>
      </c>
      <c r="G4248" s="7" t="s">
        <v>459</v>
      </c>
      <c r="H4248" s="8"/>
    </row>
    <row r="4249" ht="25" customHeight="1" spans="1:8">
      <c r="A4249" s="6">
        <v>4247</v>
      </c>
      <c r="B4249" s="7" t="str">
        <f t="shared" ref="B4249:B4279" si="889">"601"</f>
        <v>601</v>
      </c>
      <c r="C4249" s="7" t="s">
        <v>2305</v>
      </c>
      <c r="D4249" s="7" t="s">
        <v>3433</v>
      </c>
      <c r="E4249" s="7" t="str">
        <f>"周青青"</f>
        <v>周青青</v>
      </c>
      <c r="F4249" s="7" t="str">
        <f t="shared" si="888"/>
        <v>女</v>
      </c>
      <c r="G4249" s="7" t="s">
        <v>481</v>
      </c>
      <c r="H4249" s="8"/>
    </row>
    <row r="4250" ht="25" customHeight="1" spans="1:8">
      <c r="A4250" s="6">
        <v>4248</v>
      </c>
      <c r="B4250" s="7" t="str">
        <f t="shared" si="889"/>
        <v>601</v>
      </c>
      <c r="C4250" s="7" t="s">
        <v>2305</v>
      </c>
      <c r="D4250" s="7" t="s">
        <v>3433</v>
      </c>
      <c r="E4250" s="7" t="str">
        <f>"杨琴"</f>
        <v>杨琴</v>
      </c>
      <c r="F4250" s="7" t="str">
        <f t="shared" si="888"/>
        <v>女</v>
      </c>
      <c r="G4250" s="7" t="s">
        <v>3434</v>
      </c>
      <c r="H4250" s="8"/>
    </row>
    <row r="4251" ht="25" customHeight="1" spans="1:8">
      <c r="A4251" s="6">
        <v>4249</v>
      </c>
      <c r="B4251" s="7" t="str">
        <f t="shared" si="889"/>
        <v>601</v>
      </c>
      <c r="C4251" s="7" t="s">
        <v>2305</v>
      </c>
      <c r="D4251" s="7" t="s">
        <v>3433</v>
      </c>
      <c r="E4251" s="7" t="str">
        <f>"周水源"</f>
        <v>周水源</v>
      </c>
      <c r="F4251" s="7" t="str">
        <f t="shared" si="888"/>
        <v>女</v>
      </c>
      <c r="G4251" s="7" t="s">
        <v>1268</v>
      </c>
      <c r="H4251" s="8"/>
    </row>
    <row r="4252" ht="25" customHeight="1" spans="1:8">
      <c r="A4252" s="6">
        <v>4250</v>
      </c>
      <c r="B4252" s="7" t="str">
        <f t="shared" si="889"/>
        <v>601</v>
      </c>
      <c r="C4252" s="7" t="s">
        <v>2305</v>
      </c>
      <c r="D4252" s="7" t="s">
        <v>3433</v>
      </c>
      <c r="E4252" s="7" t="str">
        <f>"陈婉"</f>
        <v>陈婉</v>
      </c>
      <c r="F4252" s="7" t="str">
        <f t="shared" si="888"/>
        <v>女</v>
      </c>
      <c r="G4252" s="7" t="s">
        <v>1375</v>
      </c>
      <c r="H4252" s="8"/>
    </row>
    <row r="4253" ht="25" customHeight="1" spans="1:8">
      <c r="A4253" s="6">
        <v>4251</v>
      </c>
      <c r="B4253" s="7" t="str">
        <f t="shared" si="889"/>
        <v>601</v>
      </c>
      <c r="C4253" s="7" t="s">
        <v>2305</v>
      </c>
      <c r="D4253" s="7" t="s">
        <v>3433</v>
      </c>
      <c r="E4253" s="7" t="str">
        <f>"吴薇"</f>
        <v>吴薇</v>
      </c>
      <c r="F4253" s="7" t="str">
        <f t="shared" si="888"/>
        <v>女</v>
      </c>
      <c r="G4253" s="7" t="s">
        <v>3435</v>
      </c>
      <c r="H4253" s="8"/>
    </row>
    <row r="4254" ht="25" customHeight="1" spans="1:8">
      <c r="A4254" s="6">
        <v>4252</v>
      </c>
      <c r="B4254" s="7" t="str">
        <f t="shared" si="889"/>
        <v>601</v>
      </c>
      <c r="C4254" s="7" t="s">
        <v>2305</v>
      </c>
      <c r="D4254" s="7" t="s">
        <v>3433</v>
      </c>
      <c r="E4254" s="7" t="str">
        <f>"黎嫦婧"</f>
        <v>黎嫦婧</v>
      </c>
      <c r="F4254" s="7" t="str">
        <f t="shared" si="888"/>
        <v>女</v>
      </c>
      <c r="G4254" s="7" t="s">
        <v>3436</v>
      </c>
      <c r="H4254" s="8"/>
    </row>
    <row r="4255" ht="25" customHeight="1" spans="1:8">
      <c r="A4255" s="6">
        <v>4253</v>
      </c>
      <c r="B4255" s="7" t="str">
        <f t="shared" si="889"/>
        <v>601</v>
      </c>
      <c r="C4255" s="7" t="s">
        <v>2305</v>
      </c>
      <c r="D4255" s="7" t="s">
        <v>3433</v>
      </c>
      <c r="E4255" s="7" t="str">
        <f>"陈秀联"</f>
        <v>陈秀联</v>
      </c>
      <c r="F4255" s="7" t="str">
        <f t="shared" si="888"/>
        <v>女</v>
      </c>
      <c r="G4255" s="7" t="s">
        <v>1336</v>
      </c>
      <c r="H4255" s="8"/>
    </row>
    <row r="4256" ht="25" customHeight="1" spans="1:8">
      <c r="A4256" s="6">
        <v>4254</v>
      </c>
      <c r="B4256" s="7" t="str">
        <f t="shared" si="889"/>
        <v>601</v>
      </c>
      <c r="C4256" s="7" t="s">
        <v>2305</v>
      </c>
      <c r="D4256" s="7" t="s">
        <v>3433</v>
      </c>
      <c r="E4256" s="7" t="str">
        <f>" 符燕莹"</f>
        <v> 符燕莹</v>
      </c>
      <c r="F4256" s="7" t="str">
        <f t="shared" si="888"/>
        <v>女</v>
      </c>
      <c r="G4256" s="7" t="s">
        <v>3437</v>
      </c>
      <c r="H4256" s="8"/>
    </row>
    <row r="4257" ht="25" customHeight="1" spans="1:8">
      <c r="A4257" s="6">
        <v>4255</v>
      </c>
      <c r="B4257" s="7" t="str">
        <f t="shared" si="889"/>
        <v>601</v>
      </c>
      <c r="C4257" s="7" t="s">
        <v>2305</v>
      </c>
      <c r="D4257" s="7" t="s">
        <v>3433</v>
      </c>
      <c r="E4257" s="7" t="str">
        <f>"关义侠"</f>
        <v>关义侠</v>
      </c>
      <c r="F4257" s="7" t="str">
        <f t="shared" si="888"/>
        <v>女</v>
      </c>
      <c r="G4257" s="7" t="s">
        <v>3438</v>
      </c>
      <c r="H4257" s="8"/>
    </row>
    <row r="4258" ht="25" customHeight="1" spans="1:8">
      <c r="A4258" s="6">
        <v>4256</v>
      </c>
      <c r="B4258" s="7" t="str">
        <f t="shared" si="889"/>
        <v>601</v>
      </c>
      <c r="C4258" s="7" t="s">
        <v>2305</v>
      </c>
      <c r="D4258" s="7" t="s">
        <v>3433</v>
      </c>
      <c r="E4258" s="7" t="str">
        <f>"邹佳钰"</f>
        <v>邹佳钰</v>
      </c>
      <c r="F4258" s="7" t="str">
        <f t="shared" si="888"/>
        <v>女</v>
      </c>
      <c r="G4258" s="7" t="s">
        <v>3439</v>
      </c>
      <c r="H4258" s="8"/>
    </row>
    <row r="4259" ht="25" customHeight="1" spans="1:8">
      <c r="A4259" s="6">
        <v>4257</v>
      </c>
      <c r="B4259" s="7" t="str">
        <f t="shared" si="889"/>
        <v>601</v>
      </c>
      <c r="C4259" s="7" t="s">
        <v>2305</v>
      </c>
      <c r="D4259" s="7" t="s">
        <v>3433</v>
      </c>
      <c r="E4259" s="7" t="str">
        <f>"杨春蕾"</f>
        <v>杨春蕾</v>
      </c>
      <c r="F4259" s="7" t="str">
        <f t="shared" si="888"/>
        <v>女</v>
      </c>
      <c r="G4259" s="7" t="s">
        <v>895</v>
      </c>
      <c r="H4259" s="8"/>
    </row>
    <row r="4260" ht="25" customHeight="1" spans="1:8">
      <c r="A4260" s="6">
        <v>4258</v>
      </c>
      <c r="B4260" s="7" t="str">
        <f t="shared" si="889"/>
        <v>601</v>
      </c>
      <c r="C4260" s="7" t="s">
        <v>2305</v>
      </c>
      <c r="D4260" s="7" t="s">
        <v>3433</v>
      </c>
      <c r="E4260" s="7" t="str">
        <f>"李冰玉"</f>
        <v>李冰玉</v>
      </c>
      <c r="F4260" s="7" t="str">
        <f t="shared" si="888"/>
        <v>女</v>
      </c>
      <c r="G4260" s="7" t="s">
        <v>1941</v>
      </c>
      <c r="H4260" s="8"/>
    </row>
    <row r="4261" ht="25" customHeight="1" spans="1:8">
      <c r="A4261" s="6">
        <v>4259</v>
      </c>
      <c r="B4261" s="7" t="str">
        <f t="shared" si="889"/>
        <v>601</v>
      </c>
      <c r="C4261" s="7" t="s">
        <v>2305</v>
      </c>
      <c r="D4261" s="7" t="s">
        <v>3433</v>
      </c>
      <c r="E4261" s="7" t="str">
        <f>"覃婷婷"</f>
        <v>覃婷婷</v>
      </c>
      <c r="F4261" s="7" t="str">
        <f t="shared" si="888"/>
        <v>女</v>
      </c>
      <c r="G4261" s="7" t="s">
        <v>3440</v>
      </c>
      <c r="H4261" s="8"/>
    </row>
    <row r="4262" ht="25" customHeight="1" spans="1:8">
      <c r="A4262" s="6">
        <v>4260</v>
      </c>
      <c r="B4262" s="7" t="str">
        <f t="shared" si="889"/>
        <v>601</v>
      </c>
      <c r="C4262" s="7" t="s">
        <v>2305</v>
      </c>
      <c r="D4262" s="7" t="s">
        <v>3433</v>
      </c>
      <c r="E4262" s="7" t="str">
        <f>"倪德锋"</f>
        <v>倪德锋</v>
      </c>
      <c r="F4262" s="7" t="str">
        <f t="shared" ref="F4262:F4264" si="890">"男"</f>
        <v>男</v>
      </c>
      <c r="G4262" s="7" t="s">
        <v>3441</v>
      </c>
      <c r="H4262" s="8"/>
    </row>
    <row r="4263" ht="25" customHeight="1" spans="1:8">
      <c r="A4263" s="6">
        <v>4261</v>
      </c>
      <c r="B4263" s="7" t="str">
        <f t="shared" si="889"/>
        <v>601</v>
      </c>
      <c r="C4263" s="7" t="s">
        <v>2305</v>
      </c>
      <c r="D4263" s="7" t="s">
        <v>3433</v>
      </c>
      <c r="E4263" s="7" t="str">
        <f>"闫正康"</f>
        <v>闫正康</v>
      </c>
      <c r="F4263" s="7" t="str">
        <f t="shared" si="890"/>
        <v>男</v>
      </c>
      <c r="G4263" s="7" t="s">
        <v>3442</v>
      </c>
      <c r="H4263" s="8"/>
    </row>
    <row r="4264" ht="25" customHeight="1" spans="1:8">
      <c r="A4264" s="6">
        <v>4262</v>
      </c>
      <c r="B4264" s="7" t="str">
        <f t="shared" si="889"/>
        <v>601</v>
      </c>
      <c r="C4264" s="7" t="s">
        <v>2305</v>
      </c>
      <c r="D4264" s="7" t="s">
        <v>3433</v>
      </c>
      <c r="E4264" s="7" t="str">
        <f>"许位腾"</f>
        <v>许位腾</v>
      </c>
      <c r="F4264" s="7" t="str">
        <f t="shared" si="890"/>
        <v>男</v>
      </c>
      <c r="G4264" s="7" t="s">
        <v>3443</v>
      </c>
      <c r="H4264" s="8"/>
    </row>
    <row r="4265" ht="25" customHeight="1" spans="1:8">
      <c r="A4265" s="6">
        <v>4263</v>
      </c>
      <c r="B4265" s="7" t="str">
        <f t="shared" si="889"/>
        <v>601</v>
      </c>
      <c r="C4265" s="7" t="s">
        <v>2305</v>
      </c>
      <c r="D4265" s="7" t="s">
        <v>3433</v>
      </c>
      <c r="E4265" s="7" t="str">
        <f>"倪芳丽"</f>
        <v>倪芳丽</v>
      </c>
      <c r="F4265" s="7" t="str">
        <f t="shared" ref="F4265:F4268" si="891">"女"</f>
        <v>女</v>
      </c>
      <c r="G4265" s="7" t="s">
        <v>3001</v>
      </c>
      <c r="H4265" s="8"/>
    </row>
    <row r="4266" ht="25" customHeight="1" spans="1:8">
      <c r="A4266" s="6">
        <v>4264</v>
      </c>
      <c r="B4266" s="7" t="str">
        <f t="shared" si="889"/>
        <v>601</v>
      </c>
      <c r="C4266" s="7" t="s">
        <v>2305</v>
      </c>
      <c r="D4266" s="7" t="s">
        <v>3433</v>
      </c>
      <c r="E4266" s="7" t="str">
        <f>"林业妹"</f>
        <v>林业妹</v>
      </c>
      <c r="F4266" s="7" t="str">
        <f t="shared" si="891"/>
        <v>女</v>
      </c>
      <c r="G4266" s="7" t="s">
        <v>3444</v>
      </c>
      <c r="H4266" s="8"/>
    </row>
    <row r="4267" ht="25" customHeight="1" spans="1:8">
      <c r="A4267" s="6">
        <v>4265</v>
      </c>
      <c r="B4267" s="7" t="str">
        <f t="shared" si="889"/>
        <v>601</v>
      </c>
      <c r="C4267" s="7" t="s">
        <v>2305</v>
      </c>
      <c r="D4267" s="7" t="s">
        <v>3433</v>
      </c>
      <c r="E4267" s="7" t="str">
        <f>"林晶晶"</f>
        <v>林晶晶</v>
      </c>
      <c r="F4267" s="7" t="str">
        <f t="shared" si="891"/>
        <v>女</v>
      </c>
      <c r="G4267" s="7" t="s">
        <v>3445</v>
      </c>
      <c r="H4267" s="8"/>
    </row>
    <row r="4268" ht="25" customHeight="1" spans="1:8">
      <c r="A4268" s="6">
        <v>4266</v>
      </c>
      <c r="B4268" s="7" t="str">
        <f t="shared" si="889"/>
        <v>601</v>
      </c>
      <c r="C4268" s="7" t="s">
        <v>2305</v>
      </c>
      <c r="D4268" s="7" t="s">
        <v>3433</v>
      </c>
      <c r="E4268" s="7" t="str">
        <f>"王婕"</f>
        <v>王婕</v>
      </c>
      <c r="F4268" s="7" t="str">
        <f t="shared" si="891"/>
        <v>女</v>
      </c>
      <c r="G4268" s="7" t="s">
        <v>3446</v>
      </c>
      <c r="H4268" s="8"/>
    </row>
    <row r="4269" ht="25" customHeight="1" spans="1:8">
      <c r="A4269" s="6">
        <v>4267</v>
      </c>
      <c r="B4269" s="7" t="str">
        <f t="shared" si="889"/>
        <v>601</v>
      </c>
      <c r="C4269" s="7" t="s">
        <v>2305</v>
      </c>
      <c r="D4269" s="7" t="s">
        <v>3433</v>
      </c>
      <c r="E4269" s="7" t="str">
        <f>"周宗儒"</f>
        <v>周宗儒</v>
      </c>
      <c r="F4269" s="7" t="str">
        <f t="shared" ref="F4269:F4274" si="892">"男"</f>
        <v>男</v>
      </c>
      <c r="G4269" s="7" t="s">
        <v>1709</v>
      </c>
      <c r="H4269" s="8"/>
    </row>
    <row r="4270" ht="25" customHeight="1" spans="1:8">
      <c r="A4270" s="6">
        <v>4268</v>
      </c>
      <c r="B4270" s="7" t="str">
        <f t="shared" si="889"/>
        <v>601</v>
      </c>
      <c r="C4270" s="7" t="s">
        <v>2305</v>
      </c>
      <c r="D4270" s="7" t="s">
        <v>3433</v>
      </c>
      <c r="E4270" s="7" t="str">
        <f>"郑茜"</f>
        <v>郑茜</v>
      </c>
      <c r="F4270" s="7" t="str">
        <f t="shared" ref="F4270:F4275" si="893">"女"</f>
        <v>女</v>
      </c>
      <c r="G4270" s="7" t="s">
        <v>3447</v>
      </c>
      <c r="H4270" s="8"/>
    </row>
    <row r="4271" ht="25" customHeight="1" spans="1:8">
      <c r="A4271" s="6">
        <v>4269</v>
      </c>
      <c r="B4271" s="7" t="str">
        <f t="shared" si="889"/>
        <v>601</v>
      </c>
      <c r="C4271" s="7" t="s">
        <v>2305</v>
      </c>
      <c r="D4271" s="7" t="s">
        <v>3433</v>
      </c>
      <c r="E4271" s="7" t="str">
        <f>"李文茹"</f>
        <v>李文茹</v>
      </c>
      <c r="F4271" s="7" t="str">
        <f t="shared" si="893"/>
        <v>女</v>
      </c>
      <c r="G4271" s="7" t="s">
        <v>3448</v>
      </c>
      <c r="H4271" s="8"/>
    </row>
    <row r="4272" ht="25" customHeight="1" spans="1:8">
      <c r="A4272" s="6">
        <v>4270</v>
      </c>
      <c r="B4272" s="7" t="str">
        <f t="shared" si="889"/>
        <v>601</v>
      </c>
      <c r="C4272" s="7" t="s">
        <v>2305</v>
      </c>
      <c r="D4272" s="7" t="s">
        <v>3433</v>
      </c>
      <c r="E4272" s="7" t="str">
        <f>"许礼文"</f>
        <v>许礼文</v>
      </c>
      <c r="F4272" s="7" t="str">
        <f t="shared" si="892"/>
        <v>男</v>
      </c>
      <c r="G4272" s="7" t="s">
        <v>3449</v>
      </c>
      <c r="H4272" s="8"/>
    </row>
    <row r="4273" ht="25" customHeight="1" spans="1:8">
      <c r="A4273" s="6">
        <v>4271</v>
      </c>
      <c r="B4273" s="7" t="str">
        <f t="shared" si="889"/>
        <v>601</v>
      </c>
      <c r="C4273" s="7" t="s">
        <v>2305</v>
      </c>
      <c r="D4273" s="7" t="s">
        <v>3433</v>
      </c>
      <c r="E4273" s="7" t="str">
        <f>"张在汉"</f>
        <v>张在汉</v>
      </c>
      <c r="F4273" s="7" t="str">
        <f t="shared" si="892"/>
        <v>男</v>
      </c>
      <c r="G4273" s="7" t="s">
        <v>3450</v>
      </c>
      <c r="H4273" s="8"/>
    </row>
    <row r="4274" ht="25" customHeight="1" spans="1:8">
      <c r="A4274" s="6">
        <v>4272</v>
      </c>
      <c r="B4274" s="7" t="str">
        <f t="shared" si="889"/>
        <v>601</v>
      </c>
      <c r="C4274" s="7" t="s">
        <v>2305</v>
      </c>
      <c r="D4274" s="7" t="s">
        <v>3433</v>
      </c>
      <c r="E4274" s="7" t="str">
        <f>"蔡兴豪"</f>
        <v>蔡兴豪</v>
      </c>
      <c r="F4274" s="7" t="str">
        <f t="shared" si="892"/>
        <v>男</v>
      </c>
      <c r="G4274" s="7" t="s">
        <v>3451</v>
      </c>
      <c r="H4274" s="8"/>
    </row>
    <row r="4275" ht="25" customHeight="1" spans="1:8">
      <c r="A4275" s="6">
        <v>4273</v>
      </c>
      <c r="B4275" s="7" t="str">
        <f t="shared" si="889"/>
        <v>601</v>
      </c>
      <c r="C4275" s="7" t="s">
        <v>2305</v>
      </c>
      <c r="D4275" s="7" t="s">
        <v>3433</v>
      </c>
      <c r="E4275" s="7" t="str">
        <f>"王欣"</f>
        <v>王欣</v>
      </c>
      <c r="F4275" s="7" t="str">
        <f t="shared" si="893"/>
        <v>女</v>
      </c>
      <c r="G4275" s="7" t="s">
        <v>3452</v>
      </c>
      <c r="H4275" s="8"/>
    </row>
    <row r="4276" ht="25" customHeight="1" spans="1:8">
      <c r="A4276" s="6">
        <v>4274</v>
      </c>
      <c r="B4276" s="7" t="str">
        <f t="shared" si="889"/>
        <v>601</v>
      </c>
      <c r="C4276" s="7" t="s">
        <v>2305</v>
      </c>
      <c r="D4276" s="7" t="s">
        <v>3433</v>
      </c>
      <c r="E4276" s="7" t="str">
        <f>"丁省心"</f>
        <v>丁省心</v>
      </c>
      <c r="F4276" s="7" t="str">
        <f>"男"</f>
        <v>男</v>
      </c>
      <c r="G4276" s="7" t="s">
        <v>3453</v>
      </c>
      <c r="H4276" s="8"/>
    </row>
    <row r="4277" ht="25" customHeight="1" spans="1:8">
      <c r="A4277" s="6">
        <v>4275</v>
      </c>
      <c r="B4277" s="7" t="str">
        <f t="shared" si="889"/>
        <v>601</v>
      </c>
      <c r="C4277" s="7" t="s">
        <v>2305</v>
      </c>
      <c r="D4277" s="7" t="s">
        <v>3433</v>
      </c>
      <c r="E4277" s="7" t="str">
        <f>"王梅珍"</f>
        <v>王梅珍</v>
      </c>
      <c r="F4277" s="7" t="str">
        <f t="shared" ref="F4277:F4299" si="894">"女"</f>
        <v>女</v>
      </c>
      <c r="G4277" s="7" t="s">
        <v>3366</v>
      </c>
      <c r="H4277" s="8"/>
    </row>
    <row r="4278" ht="25" customHeight="1" spans="1:8">
      <c r="A4278" s="6">
        <v>4276</v>
      </c>
      <c r="B4278" s="7" t="str">
        <f t="shared" si="889"/>
        <v>601</v>
      </c>
      <c r="C4278" s="7" t="s">
        <v>2305</v>
      </c>
      <c r="D4278" s="7" t="s">
        <v>3433</v>
      </c>
      <c r="E4278" s="7" t="str">
        <f>"林秋焕"</f>
        <v>林秋焕</v>
      </c>
      <c r="F4278" s="7" t="str">
        <f t="shared" si="894"/>
        <v>女</v>
      </c>
      <c r="G4278" s="7" t="s">
        <v>2653</v>
      </c>
      <c r="H4278" s="8"/>
    </row>
    <row r="4279" ht="25" customHeight="1" spans="1:8">
      <c r="A4279" s="6">
        <v>4277</v>
      </c>
      <c r="B4279" s="7" t="str">
        <f t="shared" si="889"/>
        <v>601</v>
      </c>
      <c r="C4279" s="7" t="s">
        <v>2305</v>
      </c>
      <c r="D4279" s="7" t="s">
        <v>3433</v>
      </c>
      <c r="E4279" s="7" t="str">
        <f>"张芝"</f>
        <v>张芝</v>
      </c>
      <c r="F4279" s="7" t="str">
        <f t="shared" si="894"/>
        <v>女</v>
      </c>
      <c r="G4279" s="7" t="s">
        <v>1075</v>
      </c>
      <c r="H4279" s="8"/>
    </row>
    <row r="4280" ht="25" customHeight="1" spans="1:8">
      <c r="A4280" s="6">
        <v>4278</v>
      </c>
      <c r="B4280" s="7" t="str">
        <f t="shared" ref="B4280:B4312" si="895">"602"</f>
        <v>602</v>
      </c>
      <c r="C4280" s="7" t="s">
        <v>2335</v>
      </c>
      <c r="D4280" s="7" t="s">
        <v>3433</v>
      </c>
      <c r="E4280" s="7" t="str">
        <f>"陈伶菊"</f>
        <v>陈伶菊</v>
      </c>
      <c r="F4280" s="7" t="str">
        <f t="shared" si="894"/>
        <v>女</v>
      </c>
      <c r="G4280" s="7" t="s">
        <v>3454</v>
      </c>
      <c r="H4280" s="8"/>
    </row>
    <row r="4281" ht="25" customHeight="1" spans="1:8">
      <c r="A4281" s="6">
        <v>4279</v>
      </c>
      <c r="B4281" s="7" t="str">
        <f t="shared" si="895"/>
        <v>602</v>
      </c>
      <c r="C4281" s="7" t="s">
        <v>2335</v>
      </c>
      <c r="D4281" s="7" t="s">
        <v>3433</v>
      </c>
      <c r="E4281" s="7" t="str">
        <f>"容子鑫"</f>
        <v>容子鑫</v>
      </c>
      <c r="F4281" s="7" t="str">
        <f t="shared" si="894"/>
        <v>女</v>
      </c>
      <c r="G4281" s="7" t="s">
        <v>448</v>
      </c>
      <c r="H4281" s="8"/>
    </row>
    <row r="4282" ht="25" customHeight="1" spans="1:8">
      <c r="A4282" s="6">
        <v>4280</v>
      </c>
      <c r="B4282" s="7" t="str">
        <f t="shared" si="895"/>
        <v>602</v>
      </c>
      <c r="C4282" s="7" t="s">
        <v>2335</v>
      </c>
      <c r="D4282" s="7" t="s">
        <v>3433</v>
      </c>
      <c r="E4282" s="7" t="str">
        <f>"张宝珠"</f>
        <v>张宝珠</v>
      </c>
      <c r="F4282" s="7" t="str">
        <f t="shared" si="894"/>
        <v>女</v>
      </c>
      <c r="G4282" s="7" t="s">
        <v>3455</v>
      </c>
      <c r="H4282" s="8"/>
    </row>
    <row r="4283" ht="25" customHeight="1" spans="1:8">
      <c r="A4283" s="6">
        <v>4281</v>
      </c>
      <c r="B4283" s="7" t="str">
        <f t="shared" si="895"/>
        <v>602</v>
      </c>
      <c r="C4283" s="7" t="s">
        <v>2335</v>
      </c>
      <c r="D4283" s="7" t="s">
        <v>3433</v>
      </c>
      <c r="E4283" s="7" t="str">
        <f>"符娴慧"</f>
        <v>符娴慧</v>
      </c>
      <c r="F4283" s="7" t="str">
        <f t="shared" si="894"/>
        <v>女</v>
      </c>
      <c r="G4283" s="7" t="s">
        <v>3456</v>
      </c>
      <c r="H4283" s="8"/>
    </row>
    <row r="4284" ht="25" customHeight="1" spans="1:8">
      <c r="A4284" s="6">
        <v>4282</v>
      </c>
      <c r="B4284" s="7" t="str">
        <f t="shared" si="895"/>
        <v>602</v>
      </c>
      <c r="C4284" s="7" t="s">
        <v>2335</v>
      </c>
      <c r="D4284" s="7" t="s">
        <v>3433</v>
      </c>
      <c r="E4284" s="7" t="str">
        <f>"张苗"</f>
        <v>张苗</v>
      </c>
      <c r="F4284" s="7" t="str">
        <f t="shared" si="894"/>
        <v>女</v>
      </c>
      <c r="G4284" s="7" t="s">
        <v>670</v>
      </c>
      <c r="H4284" s="8"/>
    </row>
    <row r="4285" ht="25" customHeight="1" spans="1:8">
      <c r="A4285" s="6">
        <v>4283</v>
      </c>
      <c r="B4285" s="7" t="str">
        <f t="shared" si="895"/>
        <v>602</v>
      </c>
      <c r="C4285" s="7" t="s">
        <v>2335</v>
      </c>
      <c r="D4285" s="7" t="s">
        <v>3433</v>
      </c>
      <c r="E4285" s="7" t="str">
        <f>"张家美"</f>
        <v>张家美</v>
      </c>
      <c r="F4285" s="7" t="str">
        <f t="shared" si="894"/>
        <v>女</v>
      </c>
      <c r="G4285" s="7" t="s">
        <v>965</v>
      </c>
      <c r="H4285" s="8"/>
    </row>
    <row r="4286" ht="25" customHeight="1" spans="1:8">
      <c r="A4286" s="6">
        <v>4284</v>
      </c>
      <c r="B4286" s="7" t="str">
        <f t="shared" si="895"/>
        <v>602</v>
      </c>
      <c r="C4286" s="7" t="s">
        <v>2335</v>
      </c>
      <c r="D4286" s="7" t="s">
        <v>3433</v>
      </c>
      <c r="E4286" s="7" t="str">
        <f>"李海莉"</f>
        <v>李海莉</v>
      </c>
      <c r="F4286" s="7" t="str">
        <f t="shared" si="894"/>
        <v>女</v>
      </c>
      <c r="G4286" s="7" t="s">
        <v>2529</v>
      </c>
      <c r="H4286" s="8"/>
    </row>
    <row r="4287" ht="25" customHeight="1" spans="1:8">
      <c r="A4287" s="6">
        <v>4285</v>
      </c>
      <c r="B4287" s="7" t="str">
        <f t="shared" si="895"/>
        <v>602</v>
      </c>
      <c r="C4287" s="7" t="s">
        <v>2335</v>
      </c>
      <c r="D4287" s="7" t="s">
        <v>3433</v>
      </c>
      <c r="E4287" s="7" t="str">
        <f>"黄君"</f>
        <v>黄君</v>
      </c>
      <c r="F4287" s="7" t="str">
        <f t="shared" si="894"/>
        <v>女</v>
      </c>
      <c r="G4287" s="7" t="s">
        <v>3457</v>
      </c>
      <c r="H4287" s="8"/>
    </row>
    <row r="4288" ht="25" customHeight="1" spans="1:8">
      <c r="A4288" s="6">
        <v>4286</v>
      </c>
      <c r="B4288" s="7" t="str">
        <f t="shared" si="895"/>
        <v>602</v>
      </c>
      <c r="C4288" s="7" t="s">
        <v>2335</v>
      </c>
      <c r="D4288" s="7" t="s">
        <v>3433</v>
      </c>
      <c r="E4288" s="7" t="str">
        <f>"戴辉"</f>
        <v>戴辉</v>
      </c>
      <c r="F4288" s="7" t="str">
        <f t="shared" si="894"/>
        <v>女</v>
      </c>
      <c r="G4288" s="7" t="s">
        <v>3458</v>
      </c>
      <c r="H4288" s="8"/>
    </row>
    <row r="4289" ht="25" customHeight="1" spans="1:8">
      <c r="A4289" s="6">
        <v>4287</v>
      </c>
      <c r="B4289" s="7" t="str">
        <f t="shared" si="895"/>
        <v>602</v>
      </c>
      <c r="C4289" s="7" t="s">
        <v>2335</v>
      </c>
      <c r="D4289" s="7" t="s">
        <v>3433</v>
      </c>
      <c r="E4289" s="7" t="str">
        <f>"熊紫嫣"</f>
        <v>熊紫嫣</v>
      </c>
      <c r="F4289" s="7" t="str">
        <f t="shared" si="894"/>
        <v>女</v>
      </c>
      <c r="G4289" s="7" t="s">
        <v>3459</v>
      </c>
      <c r="H4289" s="8"/>
    </row>
    <row r="4290" ht="25" customHeight="1" spans="1:8">
      <c r="A4290" s="6">
        <v>4288</v>
      </c>
      <c r="B4290" s="7" t="str">
        <f t="shared" si="895"/>
        <v>602</v>
      </c>
      <c r="C4290" s="7" t="s">
        <v>2335</v>
      </c>
      <c r="D4290" s="7" t="s">
        <v>3433</v>
      </c>
      <c r="E4290" s="7" t="str">
        <f>"张定英"</f>
        <v>张定英</v>
      </c>
      <c r="F4290" s="7" t="str">
        <f t="shared" si="894"/>
        <v>女</v>
      </c>
      <c r="G4290" s="7" t="s">
        <v>196</v>
      </c>
      <c r="H4290" s="8"/>
    </row>
    <row r="4291" ht="25" customHeight="1" spans="1:8">
      <c r="A4291" s="6">
        <v>4289</v>
      </c>
      <c r="B4291" s="7" t="str">
        <f t="shared" si="895"/>
        <v>602</v>
      </c>
      <c r="C4291" s="7" t="s">
        <v>2335</v>
      </c>
      <c r="D4291" s="7" t="s">
        <v>3433</v>
      </c>
      <c r="E4291" s="7" t="str">
        <f>"赖海芬"</f>
        <v>赖海芬</v>
      </c>
      <c r="F4291" s="7" t="str">
        <f t="shared" si="894"/>
        <v>女</v>
      </c>
      <c r="G4291" s="7" t="s">
        <v>3460</v>
      </c>
      <c r="H4291" s="8"/>
    </row>
    <row r="4292" ht="25" customHeight="1" spans="1:8">
      <c r="A4292" s="6">
        <v>4290</v>
      </c>
      <c r="B4292" s="7" t="str">
        <f t="shared" si="895"/>
        <v>602</v>
      </c>
      <c r="C4292" s="7" t="s">
        <v>2335</v>
      </c>
      <c r="D4292" s="7" t="s">
        <v>3433</v>
      </c>
      <c r="E4292" s="7" t="str">
        <f>"邓二桃"</f>
        <v>邓二桃</v>
      </c>
      <c r="F4292" s="7" t="str">
        <f t="shared" si="894"/>
        <v>女</v>
      </c>
      <c r="G4292" s="7" t="s">
        <v>3461</v>
      </c>
      <c r="H4292" s="8"/>
    </row>
    <row r="4293" ht="25" customHeight="1" spans="1:8">
      <c r="A4293" s="6">
        <v>4291</v>
      </c>
      <c r="B4293" s="7" t="str">
        <f t="shared" si="895"/>
        <v>602</v>
      </c>
      <c r="C4293" s="7" t="s">
        <v>2335</v>
      </c>
      <c r="D4293" s="7" t="s">
        <v>3433</v>
      </c>
      <c r="E4293" s="7" t="str">
        <f>"文苹妃"</f>
        <v>文苹妃</v>
      </c>
      <c r="F4293" s="7" t="str">
        <f t="shared" si="894"/>
        <v>女</v>
      </c>
      <c r="G4293" s="7" t="s">
        <v>3462</v>
      </c>
      <c r="H4293" s="8"/>
    </row>
    <row r="4294" ht="25" customHeight="1" spans="1:8">
      <c r="A4294" s="6">
        <v>4292</v>
      </c>
      <c r="B4294" s="7" t="str">
        <f t="shared" si="895"/>
        <v>602</v>
      </c>
      <c r="C4294" s="7" t="s">
        <v>2335</v>
      </c>
      <c r="D4294" s="7" t="s">
        <v>3433</v>
      </c>
      <c r="E4294" s="7" t="str">
        <f>"胡茂珊"</f>
        <v>胡茂珊</v>
      </c>
      <c r="F4294" s="7" t="str">
        <f t="shared" si="894"/>
        <v>女</v>
      </c>
      <c r="G4294" s="7" t="s">
        <v>3197</v>
      </c>
      <c r="H4294" s="8"/>
    </row>
    <row r="4295" ht="25" customHeight="1" spans="1:8">
      <c r="A4295" s="6">
        <v>4293</v>
      </c>
      <c r="B4295" s="7" t="str">
        <f t="shared" si="895"/>
        <v>602</v>
      </c>
      <c r="C4295" s="7" t="s">
        <v>2335</v>
      </c>
      <c r="D4295" s="7" t="s">
        <v>3433</v>
      </c>
      <c r="E4295" s="7" t="str">
        <f>"王冬芷"</f>
        <v>王冬芷</v>
      </c>
      <c r="F4295" s="7" t="str">
        <f t="shared" si="894"/>
        <v>女</v>
      </c>
      <c r="G4295" s="7" t="s">
        <v>3463</v>
      </c>
      <c r="H4295" s="8"/>
    </row>
    <row r="4296" ht="25" customHeight="1" spans="1:8">
      <c r="A4296" s="6">
        <v>4294</v>
      </c>
      <c r="B4296" s="7" t="str">
        <f t="shared" si="895"/>
        <v>602</v>
      </c>
      <c r="C4296" s="7" t="s">
        <v>2335</v>
      </c>
      <c r="D4296" s="7" t="s">
        <v>3433</v>
      </c>
      <c r="E4296" s="7" t="str">
        <f>"刘才女"</f>
        <v>刘才女</v>
      </c>
      <c r="F4296" s="7" t="str">
        <f t="shared" si="894"/>
        <v>女</v>
      </c>
      <c r="G4296" s="7" t="s">
        <v>3464</v>
      </c>
      <c r="H4296" s="8"/>
    </row>
    <row r="4297" ht="25" customHeight="1" spans="1:8">
      <c r="A4297" s="6">
        <v>4295</v>
      </c>
      <c r="B4297" s="7" t="str">
        <f t="shared" si="895"/>
        <v>602</v>
      </c>
      <c r="C4297" s="7" t="s">
        <v>2335</v>
      </c>
      <c r="D4297" s="7" t="s">
        <v>3433</v>
      </c>
      <c r="E4297" s="7" t="str">
        <f>"苏甜甜"</f>
        <v>苏甜甜</v>
      </c>
      <c r="F4297" s="7" t="str">
        <f t="shared" si="894"/>
        <v>女</v>
      </c>
      <c r="G4297" s="7" t="s">
        <v>2245</v>
      </c>
      <c r="H4297" s="8"/>
    </row>
    <row r="4298" ht="25" customHeight="1" spans="1:8">
      <c r="A4298" s="6">
        <v>4296</v>
      </c>
      <c r="B4298" s="7" t="str">
        <f t="shared" si="895"/>
        <v>602</v>
      </c>
      <c r="C4298" s="7" t="s">
        <v>2335</v>
      </c>
      <c r="D4298" s="7" t="s">
        <v>3433</v>
      </c>
      <c r="E4298" s="7" t="str">
        <f>"李明莲"</f>
        <v>李明莲</v>
      </c>
      <c r="F4298" s="7" t="str">
        <f t="shared" si="894"/>
        <v>女</v>
      </c>
      <c r="G4298" s="7" t="s">
        <v>3465</v>
      </c>
      <c r="H4298" s="8"/>
    </row>
    <row r="4299" ht="25" customHeight="1" spans="1:8">
      <c r="A4299" s="6">
        <v>4297</v>
      </c>
      <c r="B4299" s="7" t="str">
        <f t="shared" si="895"/>
        <v>602</v>
      </c>
      <c r="C4299" s="7" t="s">
        <v>2335</v>
      </c>
      <c r="D4299" s="7" t="s">
        <v>3433</v>
      </c>
      <c r="E4299" s="7" t="str">
        <f>"邢维滢"</f>
        <v>邢维滢</v>
      </c>
      <c r="F4299" s="7" t="str">
        <f t="shared" si="894"/>
        <v>女</v>
      </c>
      <c r="G4299" s="7" t="s">
        <v>2260</v>
      </c>
      <c r="H4299" s="8"/>
    </row>
    <row r="4300" ht="25" customHeight="1" spans="1:8">
      <c r="A4300" s="6">
        <v>4298</v>
      </c>
      <c r="B4300" s="7" t="str">
        <f t="shared" si="895"/>
        <v>602</v>
      </c>
      <c r="C4300" s="7" t="s">
        <v>2335</v>
      </c>
      <c r="D4300" s="7" t="s">
        <v>3433</v>
      </c>
      <c r="E4300" s="7" t="str">
        <f>"陈光月"</f>
        <v>陈光月</v>
      </c>
      <c r="F4300" s="7" t="str">
        <f>"男"</f>
        <v>男</v>
      </c>
      <c r="G4300" s="7" t="s">
        <v>1101</v>
      </c>
      <c r="H4300" s="8"/>
    </row>
    <row r="4301" ht="25" customHeight="1" spans="1:8">
      <c r="A4301" s="6">
        <v>4299</v>
      </c>
      <c r="B4301" s="7" t="str">
        <f t="shared" si="895"/>
        <v>602</v>
      </c>
      <c r="C4301" s="7" t="s">
        <v>2335</v>
      </c>
      <c r="D4301" s="7" t="s">
        <v>3433</v>
      </c>
      <c r="E4301" s="7" t="str">
        <f>"王小凡"</f>
        <v>王小凡</v>
      </c>
      <c r="F4301" s="7" t="str">
        <f t="shared" ref="F4301:F4315" si="896">"女"</f>
        <v>女</v>
      </c>
      <c r="G4301" s="7" t="s">
        <v>3466</v>
      </c>
      <c r="H4301" s="8"/>
    </row>
    <row r="4302" ht="25" customHeight="1" spans="1:8">
      <c r="A4302" s="6">
        <v>4300</v>
      </c>
      <c r="B4302" s="7" t="str">
        <f t="shared" si="895"/>
        <v>602</v>
      </c>
      <c r="C4302" s="7" t="s">
        <v>2335</v>
      </c>
      <c r="D4302" s="7" t="s">
        <v>3433</v>
      </c>
      <c r="E4302" s="7" t="str">
        <f>"周水液"</f>
        <v>周水液</v>
      </c>
      <c r="F4302" s="7" t="str">
        <f t="shared" si="896"/>
        <v>女</v>
      </c>
      <c r="G4302" s="7" t="s">
        <v>3422</v>
      </c>
      <c r="H4302" s="8"/>
    </row>
    <row r="4303" ht="25" customHeight="1" spans="1:8">
      <c r="A4303" s="6">
        <v>4301</v>
      </c>
      <c r="B4303" s="7" t="str">
        <f t="shared" si="895"/>
        <v>602</v>
      </c>
      <c r="C4303" s="7" t="s">
        <v>2335</v>
      </c>
      <c r="D4303" s="7" t="s">
        <v>3433</v>
      </c>
      <c r="E4303" s="7" t="str">
        <f>"韦小恋"</f>
        <v>韦小恋</v>
      </c>
      <c r="F4303" s="7" t="str">
        <f t="shared" si="896"/>
        <v>女</v>
      </c>
      <c r="G4303" s="7" t="s">
        <v>189</v>
      </c>
      <c r="H4303" s="8"/>
    </row>
    <row r="4304" ht="25" customHeight="1" spans="1:8">
      <c r="A4304" s="6">
        <v>4302</v>
      </c>
      <c r="B4304" s="7" t="str">
        <f t="shared" si="895"/>
        <v>602</v>
      </c>
      <c r="C4304" s="7" t="s">
        <v>2335</v>
      </c>
      <c r="D4304" s="7" t="s">
        <v>3433</v>
      </c>
      <c r="E4304" s="7" t="str">
        <f>"张洁"</f>
        <v>张洁</v>
      </c>
      <c r="F4304" s="7" t="str">
        <f t="shared" si="896"/>
        <v>女</v>
      </c>
      <c r="G4304" s="7" t="s">
        <v>3467</v>
      </c>
      <c r="H4304" s="8"/>
    </row>
    <row r="4305" ht="25" customHeight="1" spans="1:8">
      <c r="A4305" s="6">
        <v>4303</v>
      </c>
      <c r="B4305" s="7" t="str">
        <f t="shared" si="895"/>
        <v>602</v>
      </c>
      <c r="C4305" s="7" t="s">
        <v>2335</v>
      </c>
      <c r="D4305" s="7" t="s">
        <v>3433</v>
      </c>
      <c r="E4305" s="7" t="str">
        <f>"马星玥"</f>
        <v>马星玥</v>
      </c>
      <c r="F4305" s="7" t="str">
        <f t="shared" si="896"/>
        <v>女</v>
      </c>
      <c r="G4305" s="7" t="s">
        <v>3468</v>
      </c>
      <c r="H4305" s="8"/>
    </row>
    <row r="4306" ht="25" customHeight="1" spans="1:8">
      <c r="A4306" s="6">
        <v>4304</v>
      </c>
      <c r="B4306" s="7" t="str">
        <f t="shared" si="895"/>
        <v>602</v>
      </c>
      <c r="C4306" s="7" t="s">
        <v>2335</v>
      </c>
      <c r="D4306" s="7" t="s">
        <v>3433</v>
      </c>
      <c r="E4306" s="7" t="str">
        <f>"何雪"</f>
        <v>何雪</v>
      </c>
      <c r="F4306" s="7" t="str">
        <f t="shared" si="896"/>
        <v>女</v>
      </c>
      <c r="G4306" s="7" t="s">
        <v>3469</v>
      </c>
      <c r="H4306" s="8"/>
    </row>
    <row r="4307" ht="25" customHeight="1" spans="1:8">
      <c r="A4307" s="6">
        <v>4305</v>
      </c>
      <c r="B4307" s="7" t="str">
        <f t="shared" si="895"/>
        <v>602</v>
      </c>
      <c r="C4307" s="7" t="s">
        <v>2335</v>
      </c>
      <c r="D4307" s="7" t="s">
        <v>3433</v>
      </c>
      <c r="E4307" s="7" t="str">
        <f>"陈慧婷"</f>
        <v>陈慧婷</v>
      </c>
      <c r="F4307" s="7" t="str">
        <f t="shared" si="896"/>
        <v>女</v>
      </c>
      <c r="G4307" s="7" t="s">
        <v>3470</v>
      </c>
      <c r="H4307" s="8"/>
    </row>
    <row r="4308" ht="25" customHeight="1" spans="1:8">
      <c r="A4308" s="6">
        <v>4306</v>
      </c>
      <c r="B4308" s="7" t="str">
        <f t="shared" si="895"/>
        <v>602</v>
      </c>
      <c r="C4308" s="7" t="s">
        <v>2335</v>
      </c>
      <c r="D4308" s="7" t="s">
        <v>3433</v>
      </c>
      <c r="E4308" s="7" t="str">
        <f>"郑盛妍"</f>
        <v>郑盛妍</v>
      </c>
      <c r="F4308" s="7" t="str">
        <f t="shared" si="896"/>
        <v>女</v>
      </c>
      <c r="G4308" s="7" t="s">
        <v>3471</v>
      </c>
      <c r="H4308" s="8"/>
    </row>
    <row r="4309" ht="25" customHeight="1" spans="1:8">
      <c r="A4309" s="6">
        <v>4307</v>
      </c>
      <c r="B4309" s="7" t="str">
        <f t="shared" si="895"/>
        <v>602</v>
      </c>
      <c r="C4309" s="7" t="s">
        <v>2335</v>
      </c>
      <c r="D4309" s="7" t="s">
        <v>3433</v>
      </c>
      <c r="E4309" s="7" t="str">
        <f>"高旋"</f>
        <v>高旋</v>
      </c>
      <c r="F4309" s="7" t="str">
        <f t="shared" si="896"/>
        <v>女</v>
      </c>
      <c r="G4309" s="7" t="s">
        <v>3472</v>
      </c>
      <c r="H4309" s="8"/>
    </row>
    <row r="4310" ht="25" customHeight="1" spans="1:8">
      <c r="A4310" s="6">
        <v>4308</v>
      </c>
      <c r="B4310" s="7" t="str">
        <f t="shared" si="895"/>
        <v>602</v>
      </c>
      <c r="C4310" s="7" t="s">
        <v>2335</v>
      </c>
      <c r="D4310" s="7" t="s">
        <v>3433</v>
      </c>
      <c r="E4310" s="7" t="str">
        <f>"宁一萱"</f>
        <v>宁一萱</v>
      </c>
      <c r="F4310" s="7" t="str">
        <f t="shared" si="896"/>
        <v>女</v>
      </c>
      <c r="G4310" s="7" t="s">
        <v>3473</v>
      </c>
      <c r="H4310" s="8"/>
    </row>
    <row r="4311" ht="25" customHeight="1" spans="1:8">
      <c r="A4311" s="6">
        <v>4309</v>
      </c>
      <c r="B4311" s="7" t="str">
        <f t="shared" si="895"/>
        <v>602</v>
      </c>
      <c r="C4311" s="7" t="s">
        <v>2335</v>
      </c>
      <c r="D4311" s="7" t="s">
        <v>3433</v>
      </c>
      <c r="E4311" s="7" t="str">
        <f>"邝文琦"</f>
        <v>邝文琦</v>
      </c>
      <c r="F4311" s="7" t="str">
        <f t="shared" si="896"/>
        <v>女</v>
      </c>
      <c r="G4311" s="7" t="s">
        <v>3474</v>
      </c>
      <c r="H4311" s="8"/>
    </row>
    <row r="4312" ht="25" customHeight="1" spans="1:8">
      <c r="A4312" s="6">
        <v>4310</v>
      </c>
      <c r="B4312" s="7" t="str">
        <f t="shared" si="895"/>
        <v>602</v>
      </c>
      <c r="C4312" s="7" t="s">
        <v>2335</v>
      </c>
      <c r="D4312" s="7" t="s">
        <v>3433</v>
      </c>
      <c r="E4312" s="7" t="str">
        <f>"黄美莎"</f>
        <v>黄美莎</v>
      </c>
      <c r="F4312" s="7" t="str">
        <f t="shared" si="896"/>
        <v>女</v>
      </c>
      <c r="G4312" s="7" t="s">
        <v>3475</v>
      </c>
      <c r="H4312" s="8"/>
    </row>
    <row r="4313" ht="25" customHeight="1" spans="1:8">
      <c r="A4313" s="6">
        <v>4311</v>
      </c>
      <c r="B4313" s="7" t="str">
        <f t="shared" ref="B4313:B4333" si="897">"603"</f>
        <v>603</v>
      </c>
      <c r="C4313" s="7" t="s">
        <v>2313</v>
      </c>
      <c r="D4313" s="7" t="s">
        <v>3433</v>
      </c>
      <c r="E4313" s="7" t="str">
        <f>"曲玥亭"</f>
        <v>曲玥亭</v>
      </c>
      <c r="F4313" s="7" t="str">
        <f t="shared" si="896"/>
        <v>女</v>
      </c>
      <c r="G4313" s="7" t="s">
        <v>3476</v>
      </c>
      <c r="H4313" s="8"/>
    </row>
    <row r="4314" ht="25" customHeight="1" spans="1:8">
      <c r="A4314" s="6">
        <v>4312</v>
      </c>
      <c r="B4314" s="7" t="str">
        <f t="shared" si="897"/>
        <v>603</v>
      </c>
      <c r="C4314" s="7" t="s">
        <v>2313</v>
      </c>
      <c r="D4314" s="7" t="s">
        <v>3433</v>
      </c>
      <c r="E4314" s="7" t="str">
        <f>"王海兰"</f>
        <v>王海兰</v>
      </c>
      <c r="F4314" s="7" t="str">
        <f t="shared" si="896"/>
        <v>女</v>
      </c>
      <c r="G4314" s="7" t="s">
        <v>671</v>
      </c>
      <c r="H4314" s="8"/>
    </row>
    <row r="4315" ht="25" customHeight="1" spans="1:8">
      <c r="A4315" s="6">
        <v>4313</v>
      </c>
      <c r="B4315" s="7" t="str">
        <f t="shared" si="897"/>
        <v>603</v>
      </c>
      <c r="C4315" s="7" t="s">
        <v>2313</v>
      </c>
      <c r="D4315" s="7" t="s">
        <v>3433</v>
      </c>
      <c r="E4315" s="7" t="str">
        <f>"陈潇"</f>
        <v>陈潇</v>
      </c>
      <c r="F4315" s="7" t="str">
        <f t="shared" si="896"/>
        <v>女</v>
      </c>
      <c r="G4315" s="7" t="s">
        <v>375</v>
      </c>
      <c r="H4315" s="8"/>
    </row>
    <row r="4316" ht="25" customHeight="1" spans="1:8">
      <c r="A4316" s="6">
        <v>4314</v>
      </c>
      <c r="B4316" s="7" t="str">
        <f t="shared" si="897"/>
        <v>603</v>
      </c>
      <c r="C4316" s="7" t="s">
        <v>2313</v>
      </c>
      <c r="D4316" s="7" t="s">
        <v>3433</v>
      </c>
      <c r="E4316" s="7" t="str">
        <f>"陈儿平"</f>
        <v>陈儿平</v>
      </c>
      <c r="F4316" s="7" t="str">
        <f t="shared" ref="F4316:F4320" si="898">"男"</f>
        <v>男</v>
      </c>
      <c r="G4316" s="7" t="s">
        <v>3477</v>
      </c>
      <c r="H4316" s="8"/>
    </row>
    <row r="4317" ht="25" customHeight="1" spans="1:8">
      <c r="A4317" s="6">
        <v>4315</v>
      </c>
      <c r="B4317" s="7" t="str">
        <f t="shared" si="897"/>
        <v>603</v>
      </c>
      <c r="C4317" s="7" t="s">
        <v>2313</v>
      </c>
      <c r="D4317" s="7" t="s">
        <v>3433</v>
      </c>
      <c r="E4317" s="7" t="str">
        <f>"徐庆娴"</f>
        <v>徐庆娴</v>
      </c>
      <c r="F4317" s="7" t="str">
        <f t="shared" ref="F4317:F4324" si="899">"女"</f>
        <v>女</v>
      </c>
      <c r="G4317" s="7" t="s">
        <v>3478</v>
      </c>
      <c r="H4317" s="8"/>
    </row>
    <row r="4318" ht="25" customHeight="1" spans="1:8">
      <c r="A4318" s="6">
        <v>4316</v>
      </c>
      <c r="B4318" s="7" t="str">
        <f t="shared" si="897"/>
        <v>603</v>
      </c>
      <c r="C4318" s="7" t="s">
        <v>2313</v>
      </c>
      <c r="D4318" s="7" t="s">
        <v>3433</v>
      </c>
      <c r="E4318" s="7" t="str">
        <f>"陈晓婷"</f>
        <v>陈晓婷</v>
      </c>
      <c r="F4318" s="7" t="str">
        <f t="shared" si="899"/>
        <v>女</v>
      </c>
      <c r="G4318" s="7" t="s">
        <v>3479</v>
      </c>
      <c r="H4318" s="8"/>
    </row>
    <row r="4319" ht="25" customHeight="1" spans="1:8">
      <c r="A4319" s="6">
        <v>4317</v>
      </c>
      <c r="B4319" s="7" t="str">
        <f t="shared" si="897"/>
        <v>603</v>
      </c>
      <c r="C4319" s="7" t="s">
        <v>2313</v>
      </c>
      <c r="D4319" s="7" t="s">
        <v>3433</v>
      </c>
      <c r="E4319" s="7" t="str">
        <f>"谢景助"</f>
        <v>谢景助</v>
      </c>
      <c r="F4319" s="7" t="str">
        <f t="shared" si="898"/>
        <v>男</v>
      </c>
      <c r="G4319" s="7" t="s">
        <v>3480</v>
      </c>
      <c r="H4319" s="8"/>
    </row>
    <row r="4320" ht="25" customHeight="1" spans="1:8">
      <c r="A4320" s="6">
        <v>4318</v>
      </c>
      <c r="B4320" s="7" t="str">
        <f t="shared" si="897"/>
        <v>603</v>
      </c>
      <c r="C4320" s="7" t="s">
        <v>2313</v>
      </c>
      <c r="D4320" s="7" t="s">
        <v>3433</v>
      </c>
      <c r="E4320" s="7" t="str">
        <f>"苏鹏"</f>
        <v>苏鹏</v>
      </c>
      <c r="F4320" s="7" t="str">
        <f t="shared" si="898"/>
        <v>男</v>
      </c>
      <c r="G4320" s="7" t="s">
        <v>3481</v>
      </c>
      <c r="H4320" s="8"/>
    </row>
    <row r="4321" ht="25" customHeight="1" spans="1:8">
      <c r="A4321" s="6">
        <v>4319</v>
      </c>
      <c r="B4321" s="7" t="str">
        <f t="shared" si="897"/>
        <v>603</v>
      </c>
      <c r="C4321" s="7" t="s">
        <v>2313</v>
      </c>
      <c r="D4321" s="7" t="s">
        <v>3433</v>
      </c>
      <c r="E4321" s="7" t="str">
        <f>"何芳艳"</f>
        <v>何芳艳</v>
      </c>
      <c r="F4321" s="7" t="str">
        <f t="shared" si="899"/>
        <v>女</v>
      </c>
      <c r="G4321" s="7" t="s">
        <v>1556</v>
      </c>
      <c r="H4321" s="8"/>
    </row>
    <row r="4322" ht="25" customHeight="1" spans="1:8">
      <c r="A4322" s="6">
        <v>4320</v>
      </c>
      <c r="B4322" s="7" t="str">
        <f t="shared" si="897"/>
        <v>603</v>
      </c>
      <c r="C4322" s="7" t="s">
        <v>2313</v>
      </c>
      <c r="D4322" s="7" t="s">
        <v>3433</v>
      </c>
      <c r="E4322" s="7" t="str">
        <f>"符颜容"</f>
        <v>符颜容</v>
      </c>
      <c r="F4322" s="7" t="str">
        <f t="shared" si="899"/>
        <v>女</v>
      </c>
      <c r="G4322" s="7" t="s">
        <v>3482</v>
      </c>
      <c r="H4322" s="8"/>
    </row>
    <row r="4323" ht="25" customHeight="1" spans="1:8">
      <c r="A4323" s="6">
        <v>4321</v>
      </c>
      <c r="B4323" s="7" t="str">
        <f t="shared" si="897"/>
        <v>603</v>
      </c>
      <c r="C4323" s="7" t="s">
        <v>2313</v>
      </c>
      <c r="D4323" s="7" t="s">
        <v>3433</v>
      </c>
      <c r="E4323" s="7" t="str">
        <f>"邢媛"</f>
        <v>邢媛</v>
      </c>
      <c r="F4323" s="7" t="str">
        <f t="shared" si="899"/>
        <v>女</v>
      </c>
      <c r="G4323" s="7" t="s">
        <v>1648</v>
      </c>
      <c r="H4323" s="8"/>
    </row>
    <row r="4324" ht="25" customHeight="1" spans="1:8">
      <c r="A4324" s="6">
        <v>4322</v>
      </c>
      <c r="B4324" s="7" t="str">
        <f t="shared" si="897"/>
        <v>603</v>
      </c>
      <c r="C4324" s="7" t="s">
        <v>2313</v>
      </c>
      <c r="D4324" s="7" t="s">
        <v>3433</v>
      </c>
      <c r="E4324" s="7" t="str">
        <f>"王芸"</f>
        <v>王芸</v>
      </c>
      <c r="F4324" s="7" t="str">
        <f t="shared" si="899"/>
        <v>女</v>
      </c>
      <c r="G4324" s="7" t="s">
        <v>801</v>
      </c>
      <c r="H4324" s="8"/>
    </row>
    <row r="4325" ht="25" customHeight="1" spans="1:8">
      <c r="A4325" s="6">
        <v>4323</v>
      </c>
      <c r="B4325" s="7" t="str">
        <f t="shared" si="897"/>
        <v>603</v>
      </c>
      <c r="C4325" s="7" t="s">
        <v>2313</v>
      </c>
      <c r="D4325" s="7" t="s">
        <v>3433</v>
      </c>
      <c r="E4325" s="7" t="str">
        <f>"陈孝权"</f>
        <v>陈孝权</v>
      </c>
      <c r="F4325" s="7" t="str">
        <f>"男"</f>
        <v>男</v>
      </c>
      <c r="G4325" s="7" t="s">
        <v>3483</v>
      </c>
      <c r="H4325" s="8"/>
    </row>
    <row r="4326" ht="25" customHeight="1" spans="1:8">
      <c r="A4326" s="6">
        <v>4324</v>
      </c>
      <c r="B4326" s="7" t="str">
        <f t="shared" si="897"/>
        <v>603</v>
      </c>
      <c r="C4326" s="7" t="s">
        <v>2313</v>
      </c>
      <c r="D4326" s="7" t="s">
        <v>3433</v>
      </c>
      <c r="E4326" s="7" t="str">
        <f>"陈文婧"</f>
        <v>陈文婧</v>
      </c>
      <c r="F4326" s="7" t="str">
        <f t="shared" ref="F4326:F4338" si="900">"女"</f>
        <v>女</v>
      </c>
      <c r="G4326" s="7" t="s">
        <v>3484</v>
      </c>
      <c r="H4326" s="8"/>
    </row>
    <row r="4327" ht="25" customHeight="1" spans="1:8">
      <c r="A4327" s="6">
        <v>4325</v>
      </c>
      <c r="B4327" s="7" t="str">
        <f t="shared" si="897"/>
        <v>603</v>
      </c>
      <c r="C4327" s="7" t="s">
        <v>2313</v>
      </c>
      <c r="D4327" s="7" t="s">
        <v>3433</v>
      </c>
      <c r="E4327" s="7" t="str">
        <f>"符鲁慧"</f>
        <v>符鲁慧</v>
      </c>
      <c r="F4327" s="7" t="str">
        <f t="shared" si="900"/>
        <v>女</v>
      </c>
      <c r="G4327" s="7" t="s">
        <v>378</v>
      </c>
      <c r="H4327" s="8"/>
    </row>
    <row r="4328" ht="25" customHeight="1" spans="1:8">
      <c r="A4328" s="6">
        <v>4326</v>
      </c>
      <c r="B4328" s="7" t="str">
        <f t="shared" si="897"/>
        <v>603</v>
      </c>
      <c r="C4328" s="7" t="s">
        <v>2313</v>
      </c>
      <c r="D4328" s="7" t="s">
        <v>3433</v>
      </c>
      <c r="E4328" s="7" t="str">
        <f>"叶欣"</f>
        <v>叶欣</v>
      </c>
      <c r="F4328" s="7" t="str">
        <f t="shared" si="900"/>
        <v>女</v>
      </c>
      <c r="G4328" s="7" t="s">
        <v>3485</v>
      </c>
      <c r="H4328" s="8"/>
    </row>
    <row r="4329" ht="25" customHeight="1" spans="1:8">
      <c r="A4329" s="6">
        <v>4327</v>
      </c>
      <c r="B4329" s="7" t="str">
        <f t="shared" si="897"/>
        <v>603</v>
      </c>
      <c r="C4329" s="7" t="s">
        <v>2313</v>
      </c>
      <c r="D4329" s="7" t="s">
        <v>3433</v>
      </c>
      <c r="E4329" s="7" t="str">
        <f>"王茹"</f>
        <v>王茹</v>
      </c>
      <c r="F4329" s="7" t="str">
        <f t="shared" si="900"/>
        <v>女</v>
      </c>
      <c r="G4329" s="7" t="s">
        <v>2239</v>
      </c>
      <c r="H4329" s="8"/>
    </row>
    <row r="4330" ht="25" customHeight="1" spans="1:8">
      <c r="A4330" s="6">
        <v>4328</v>
      </c>
      <c r="B4330" s="7" t="str">
        <f t="shared" si="897"/>
        <v>603</v>
      </c>
      <c r="C4330" s="7" t="s">
        <v>2313</v>
      </c>
      <c r="D4330" s="7" t="s">
        <v>3433</v>
      </c>
      <c r="E4330" s="7" t="str">
        <f>"黄蝶"</f>
        <v>黄蝶</v>
      </c>
      <c r="F4330" s="7" t="str">
        <f t="shared" si="900"/>
        <v>女</v>
      </c>
      <c r="G4330" s="7" t="s">
        <v>3486</v>
      </c>
      <c r="H4330" s="8"/>
    </row>
    <row r="4331" ht="25" customHeight="1" spans="1:8">
      <c r="A4331" s="6">
        <v>4329</v>
      </c>
      <c r="B4331" s="7" t="str">
        <f t="shared" si="897"/>
        <v>603</v>
      </c>
      <c r="C4331" s="7" t="s">
        <v>2313</v>
      </c>
      <c r="D4331" s="7" t="s">
        <v>3433</v>
      </c>
      <c r="E4331" s="7" t="str">
        <f>"符吻儿"</f>
        <v>符吻儿</v>
      </c>
      <c r="F4331" s="7" t="str">
        <f t="shared" si="900"/>
        <v>女</v>
      </c>
      <c r="G4331" s="7" t="s">
        <v>2667</v>
      </c>
      <c r="H4331" s="8"/>
    </row>
    <row r="4332" ht="25" customHeight="1" spans="1:8">
      <c r="A4332" s="6">
        <v>4330</v>
      </c>
      <c r="B4332" s="7" t="str">
        <f t="shared" si="897"/>
        <v>603</v>
      </c>
      <c r="C4332" s="7" t="s">
        <v>2313</v>
      </c>
      <c r="D4332" s="7" t="s">
        <v>3433</v>
      </c>
      <c r="E4332" s="7" t="str">
        <f>"龙宇"</f>
        <v>龙宇</v>
      </c>
      <c r="F4332" s="7" t="str">
        <f t="shared" si="900"/>
        <v>女</v>
      </c>
      <c r="G4332" s="7" t="s">
        <v>3487</v>
      </c>
      <c r="H4332" s="8"/>
    </row>
    <row r="4333" ht="25" customHeight="1" spans="1:8">
      <c r="A4333" s="6">
        <v>4331</v>
      </c>
      <c r="B4333" s="7" t="str">
        <f t="shared" si="897"/>
        <v>603</v>
      </c>
      <c r="C4333" s="7" t="s">
        <v>2313</v>
      </c>
      <c r="D4333" s="7" t="s">
        <v>3433</v>
      </c>
      <c r="E4333" s="7" t="str">
        <f>"王琴"</f>
        <v>王琴</v>
      </c>
      <c r="F4333" s="7" t="str">
        <f t="shared" si="900"/>
        <v>女</v>
      </c>
      <c r="G4333" s="7" t="s">
        <v>2032</v>
      </c>
      <c r="H4333" s="8"/>
    </row>
    <row r="4334" ht="25" customHeight="1" spans="1:8">
      <c r="A4334" s="6">
        <v>4332</v>
      </c>
      <c r="B4334" s="7" t="str">
        <f t="shared" ref="B4334:B4352" si="901">"604"</f>
        <v>604</v>
      </c>
      <c r="C4334" s="7" t="s">
        <v>3186</v>
      </c>
      <c r="D4334" s="7" t="s">
        <v>3433</v>
      </c>
      <c r="E4334" s="7" t="str">
        <f>"刘晶"</f>
        <v>刘晶</v>
      </c>
      <c r="F4334" s="7" t="str">
        <f t="shared" si="900"/>
        <v>女</v>
      </c>
      <c r="G4334" s="7" t="s">
        <v>3488</v>
      </c>
      <c r="H4334" s="8"/>
    </row>
    <row r="4335" ht="25" customHeight="1" spans="1:8">
      <c r="A4335" s="6">
        <v>4333</v>
      </c>
      <c r="B4335" s="7" t="str">
        <f t="shared" si="901"/>
        <v>604</v>
      </c>
      <c r="C4335" s="7" t="s">
        <v>3186</v>
      </c>
      <c r="D4335" s="7" t="s">
        <v>3433</v>
      </c>
      <c r="E4335" s="7" t="str">
        <f>"王莹"</f>
        <v>王莹</v>
      </c>
      <c r="F4335" s="7" t="str">
        <f t="shared" si="900"/>
        <v>女</v>
      </c>
      <c r="G4335" s="7" t="s">
        <v>2836</v>
      </c>
      <c r="H4335" s="8"/>
    </row>
    <row r="4336" ht="25" customHeight="1" spans="1:8">
      <c r="A4336" s="6">
        <v>4334</v>
      </c>
      <c r="B4336" s="7" t="str">
        <f t="shared" si="901"/>
        <v>604</v>
      </c>
      <c r="C4336" s="7" t="s">
        <v>3186</v>
      </c>
      <c r="D4336" s="7" t="s">
        <v>3433</v>
      </c>
      <c r="E4336" s="7" t="str">
        <f>"林莉娇"</f>
        <v>林莉娇</v>
      </c>
      <c r="F4336" s="7" t="str">
        <f t="shared" si="900"/>
        <v>女</v>
      </c>
      <c r="G4336" s="7" t="s">
        <v>3489</v>
      </c>
      <c r="H4336" s="8"/>
    </row>
    <row r="4337" ht="25" customHeight="1" spans="1:8">
      <c r="A4337" s="6">
        <v>4335</v>
      </c>
      <c r="B4337" s="7" t="str">
        <f t="shared" si="901"/>
        <v>604</v>
      </c>
      <c r="C4337" s="7" t="s">
        <v>3186</v>
      </c>
      <c r="D4337" s="7" t="s">
        <v>3433</v>
      </c>
      <c r="E4337" s="7" t="str">
        <f>"龙晓"</f>
        <v>龙晓</v>
      </c>
      <c r="F4337" s="7" t="str">
        <f t="shared" si="900"/>
        <v>女</v>
      </c>
      <c r="G4337" s="7" t="s">
        <v>2640</v>
      </c>
      <c r="H4337" s="8"/>
    </row>
    <row r="4338" ht="25" customHeight="1" spans="1:8">
      <c r="A4338" s="6">
        <v>4336</v>
      </c>
      <c r="B4338" s="7" t="str">
        <f t="shared" si="901"/>
        <v>604</v>
      </c>
      <c r="C4338" s="7" t="s">
        <v>3186</v>
      </c>
      <c r="D4338" s="7" t="s">
        <v>3433</v>
      </c>
      <c r="E4338" s="7" t="str">
        <f>"李海艳"</f>
        <v>李海艳</v>
      </c>
      <c r="F4338" s="7" t="str">
        <f t="shared" si="900"/>
        <v>女</v>
      </c>
      <c r="G4338" s="7" t="s">
        <v>3490</v>
      </c>
      <c r="H4338" s="8"/>
    </row>
    <row r="4339" ht="25" customHeight="1" spans="1:8">
      <c r="A4339" s="6">
        <v>4337</v>
      </c>
      <c r="B4339" s="7" t="str">
        <f t="shared" si="901"/>
        <v>604</v>
      </c>
      <c r="C4339" s="7" t="s">
        <v>3186</v>
      </c>
      <c r="D4339" s="7" t="s">
        <v>3433</v>
      </c>
      <c r="E4339" s="7" t="str">
        <f>"张煌"</f>
        <v>张煌</v>
      </c>
      <c r="F4339" s="7" t="str">
        <f>"男"</f>
        <v>男</v>
      </c>
      <c r="G4339" s="7" t="s">
        <v>3491</v>
      </c>
      <c r="H4339" s="8"/>
    </row>
    <row r="4340" ht="25" customHeight="1" spans="1:8">
      <c r="A4340" s="6">
        <v>4338</v>
      </c>
      <c r="B4340" s="7" t="str">
        <f t="shared" si="901"/>
        <v>604</v>
      </c>
      <c r="C4340" s="7" t="s">
        <v>3186</v>
      </c>
      <c r="D4340" s="7" t="s">
        <v>3433</v>
      </c>
      <c r="E4340" s="7" t="str">
        <f>"叶晶"</f>
        <v>叶晶</v>
      </c>
      <c r="F4340" s="7" t="str">
        <f t="shared" ref="F4340:F4354" si="902">"女"</f>
        <v>女</v>
      </c>
      <c r="G4340" s="7" t="s">
        <v>3492</v>
      </c>
      <c r="H4340" s="8"/>
    </row>
    <row r="4341" ht="25" customHeight="1" spans="1:8">
      <c r="A4341" s="6">
        <v>4339</v>
      </c>
      <c r="B4341" s="7" t="str">
        <f t="shared" si="901"/>
        <v>604</v>
      </c>
      <c r="C4341" s="7" t="s">
        <v>3186</v>
      </c>
      <c r="D4341" s="7" t="s">
        <v>3433</v>
      </c>
      <c r="E4341" s="7" t="str">
        <f>"莫紫清"</f>
        <v>莫紫清</v>
      </c>
      <c r="F4341" s="7" t="str">
        <f t="shared" si="902"/>
        <v>女</v>
      </c>
      <c r="G4341" s="7" t="s">
        <v>375</v>
      </c>
      <c r="H4341" s="8"/>
    </row>
    <row r="4342" ht="25" customHeight="1" spans="1:8">
      <c r="A4342" s="6">
        <v>4340</v>
      </c>
      <c r="B4342" s="7" t="str">
        <f t="shared" si="901"/>
        <v>604</v>
      </c>
      <c r="C4342" s="7" t="s">
        <v>3186</v>
      </c>
      <c r="D4342" s="7" t="s">
        <v>3433</v>
      </c>
      <c r="E4342" s="7" t="str">
        <f>"张陈忠"</f>
        <v>张陈忠</v>
      </c>
      <c r="F4342" s="7" t="str">
        <f>"男"</f>
        <v>男</v>
      </c>
      <c r="G4342" s="7" t="s">
        <v>1466</v>
      </c>
      <c r="H4342" s="8"/>
    </row>
    <row r="4343" ht="25" customHeight="1" spans="1:8">
      <c r="A4343" s="6">
        <v>4341</v>
      </c>
      <c r="B4343" s="7" t="str">
        <f t="shared" si="901"/>
        <v>604</v>
      </c>
      <c r="C4343" s="7" t="s">
        <v>3186</v>
      </c>
      <c r="D4343" s="7" t="s">
        <v>3433</v>
      </c>
      <c r="E4343" s="7" t="str">
        <f>"唐庆霞"</f>
        <v>唐庆霞</v>
      </c>
      <c r="F4343" s="7" t="str">
        <f t="shared" si="902"/>
        <v>女</v>
      </c>
      <c r="G4343" s="7" t="s">
        <v>3493</v>
      </c>
      <c r="H4343" s="8"/>
    </row>
    <row r="4344" ht="25" customHeight="1" spans="1:8">
      <c r="A4344" s="6">
        <v>4342</v>
      </c>
      <c r="B4344" s="7" t="str">
        <f t="shared" si="901"/>
        <v>604</v>
      </c>
      <c r="C4344" s="7" t="s">
        <v>3186</v>
      </c>
      <c r="D4344" s="7" t="s">
        <v>3433</v>
      </c>
      <c r="E4344" s="7" t="str">
        <f>"王振莹"</f>
        <v>王振莹</v>
      </c>
      <c r="F4344" s="7" t="str">
        <f t="shared" si="902"/>
        <v>女</v>
      </c>
      <c r="G4344" s="7" t="s">
        <v>3494</v>
      </c>
      <c r="H4344" s="8"/>
    </row>
    <row r="4345" ht="25" customHeight="1" spans="1:8">
      <c r="A4345" s="6">
        <v>4343</v>
      </c>
      <c r="B4345" s="7" t="str">
        <f t="shared" si="901"/>
        <v>604</v>
      </c>
      <c r="C4345" s="7" t="s">
        <v>3186</v>
      </c>
      <c r="D4345" s="7" t="s">
        <v>3433</v>
      </c>
      <c r="E4345" s="7" t="str">
        <f>"邢维丹"</f>
        <v>邢维丹</v>
      </c>
      <c r="F4345" s="7" t="str">
        <f t="shared" si="902"/>
        <v>女</v>
      </c>
      <c r="G4345" s="7" t="s">
        <v>3495</v>
      </c>
      <c r="H4345" s="8"/>
    </row>
    <row r="4346" ht="25" customHeight="1" spans="1:8">
      <c r="A4346" s="6">
        <v>4344</v>
      </c>
      <c r="B4346" s="7" t="str">
        <f t="shared" si="901"/>
        <v>604</v>
      </c>
      <c r="C4346" s="7" t="s">
        <v>3186</v>
      </c>
      <c r="D4346" s="7" t="s">
        <v>3433</v>
      </c>
      <c r="E4346" s="7" t="str">
        <f>"林天玲"</f>
        <v>林天玲</v>
      </c>
      <c r="F4346" s="7" t="str">
        <f t="shared" si="902"/>
        <v>女</v>
      </c>
      <c r="G4346" s="7" t="s">
        <v>771</v>
      </c>
      <c r="H4346" s="8"/>
    </row>
    <row r="4347" ht="25" customHeight="1" spans="1:8">
      <c r="A4347" s="6">
        <v>4345</v>
      </c>
      <c r="B4347" s="7" t="str">
        <f t="shared" si="901"/>
        <v>604</v>
      </c>
      <c r="C4347" s="7" t="s">
        <v>3186</v>
      </c>
      <c r="D4347" s="7" t="s">
        <v>3433</v>
      </c>
      <c r="E4347" s="7" t="str">
        <f>"黄慧若"</f>
        <v>黄慧若</v>
      </c>
      <c r="F4347" s="7" t="str">
        <f t="shared" si="902"/>
        <v>女</v>
      </c>
      <c r="G4347" s="7" t="s">
        <v>3496</v>
      </c>
      <c r="H4347" s="8"/>
    </row>
    <row r="4348" ht="25" customHeight="1" spans="1:8">
      <c r="A4348" s="6">
        <v>4346</v>
      </c>
      <c r="B4348" s="7" t="str">
        <f t="shared" si="901"/>
        <v>604</v>
      </c>
      <c r="C4348" s="7" t="s">
        <v>3186</v>
      </c>
      <c r="D4348" s="7" t="s">
        <v>3433</v>
      </c>
      <c r="E4348" s="7" t="str">
        <f>"罗来曦"</f>
        <v>罗来曦</v>
      </c>
      <c r="F4348" s="7" t="str">
        <f t="shared" si="902"/>
        <v>女</v>
      </c>
      <c r="G4348" s="7" t="s">
        <v>575</v>
      </c>
      <c r="H4348" s="8"/>
    </row>
    <row r="4349" ht="25" customHeight="1" spans="1:8">
      <c r="A4349" s="6">
        <v>4347</v>
      </c>
      <c r="B4349" s="7" t="str">
        <f t="shared" si="901"/>
        <v>604</v>
      </c>
      <c r="C4349" s="7" t="s">
        <v>3186</v>
      </c>
      <c r="D4349" s="7" t="s">
        <v>3433</v>
      </c>
      <c r="E4349" s="7" t="str">
        <f>"符克芳"</f>
        <v>符克芳</v>
      </c>
      <c r="F4349" s="7" t="str">
        <f t="shared" si="902"/>
        <v>女</v>
      </c>
      <c r="G4349" s="7" t="s">
        <v>1357</v>
      </c>
      <c r="H4349" s="8"/>
    </row>
    <row r="4350" ht="25" customHeight="1" spans="1:8">
      <c r="A4350" s="6">
        <v>4348</v>
      </c>
      <c r="B4350" s="7" t="str">
        <f t="shared" si="901"/>
        <v>604</v>
      </c>
      <c r="C4350" s="7" t="s">
        <v>3186</v>
      </c>
      <c r="D4350" s="7" t="s">
        <v>3433</v>
      </c>
      <c r="E4350" s="7" t="str">
        <f>"赵妍"</f>
        <v>赵妍</v>
      </c>
      <c r="F4350" s="7" t="str">
        <f t="shared" si="902"/>
        <v>女</v>
      </c>
      <c r="G4350" s="7" t="s">
        <v>3497</v>
      </c>
      <c r="H4350" s="8"/>
    </row>
    <row r="4351" ht="25" customHeight="1" spans="1:8">
      <c r="A4351" s="6">
        <v>4349</v>
      </c>
      <c r="B4351" s="7" t="str">
        <f t="shared" si="901"/>
        <v>604</v>
      </c>
      <c r="C4351" s="7" t="s">
        <v>3186</v>
      </c>
      <c r="D4351" s="7" t="s">
        <v>3433</v>
      </c>
      <c r="E4351" s="7" t="str">
        <f>"符雪"</f>
        <v>符雪</v>
      </c>
      <c r="F4351" s="7" t="str">
        <f t="shared" si="902"/>
        <v>女</v>
      </c>
      <c r="G4351" s="7" t="s">
        <v>1676</v>
      </c>
      <c r="H4351" s="8"/>
    </row>
    <row r="4352" ht="25" customHeight="1" spans="1:8">
      <c r="A4352" s="6">
        <v>4350</v>
      </c>
      <c r="B4352" s="7" t="str">
        <f t="shared" si="901"/>
        <v>604</v>
      </c>
      <c r="C4352" s="7" t="s">
        <v>3186</v>
      </c>
      <c r="D4352" s="7" t="s">
        <v>3433</v>
      </c>
      <c r="E4352" s="7" t="str">
        <f>"王小霞"</f>
        <v>王小霞</v>
      </c>
      <c r="F4352" s="7" t="str">
        <f t="shared" si="902"/>
        <v>女</v>
      </c>
      <c r="G4352" s="7" t="s">
        <v>2883</v>
      </c>
      <c r="H4352" s="8"/>
    </row>
    <row r="4353" ht="25" customHeight="1" spans="1:8">
      <c r="A4353" s="6">
        <v>4351</v>
      </c>
      <c r="B4353" s="7" t="str">
        <f t="shared" ref="B4353:B4407" si="903">"605"</f>
        <v>605</v>
      </c>
      <c r="C4353" s="7" t="s">
        <v>2354</v>
      </c>
      <c r="D4353" s="7" t="s">
        <v>3433</v>
      </c>
      <c r="E4353" s="7" t="str">
        <f>"杨婕馨"</f>
        <v>杨婕馨</v>
      </c>
      <c r="F4353" s="7" t="str">
        <f t="shared" si="902"/>
        <v>女</v>
      </c>
      <c r="G4353" s="7" t="s">
        <v>3498</v>
      </c>
      <c r="H4353" s="8"/>
    </row>
    <row r="4354" ht="25" customHeight="1" spans="1:8">
      <c r="A4354" s="6">
        <v>4352</v>
      </c>
      <c r="B4354" s="7" t="str">
        <f t="shared" si="903"/>
        <v>605</v>
      </c>
      <c r="C4354" s="7" t="s">
        <v>2354</v>
      </c>
      <c r="D4354" s="7" t="s">
        <v>3433</v>
      </c>
      <c r="E4354" s="7" t="str">
        <f>"申文静"</f>
        <v>申文静</v>
      </c>
      <c r="F4354" s="7" t="str">
        <f t="shared" si="902"/>
        <v>女</v>
      </c>
      <c r="G4354" s="7" t="s">
        <v>3499</v>
      </c>
      <c r="H4354" s="8"/>
    </row>
    <row r="4355" ht="25" customHeight="1" spans="1:8">
      <c r="A4355" s="6">
        <v>4353</v>
      </c>
      <c r="B4355" s="7" t="str">
        <f t="shared" si="903"/>
        <v>605</v>
      </c>
      <c r="C4355" s="7" t="s">
        <v>2354</v>
      </c>
      <c r="D4355" s="7" t="s">
        <v>3433</v>
      </c>
      <c r="E4355" s="7" t="str">
        <f>"唐统学"</f>
        <v>唐统学</v>
      </c>
      <c r="F4355" s="7" t="str">
        <f t="shared" ref="F4355:F4357" si="904">"男"</f>
        <v>男</v>
      </c>
      <c r="G4355" s="7" t="s">
        <v>3500</v>
      </c>
      <c r="H4355" s="8"/>
    </row>
    <row r="4356" ht="25" customHeight="1" spans="1:8">
      <c r="A4356" s="6">
        <v>4354</v>
      </c>
      <c r="B4356" s="7" t="str">
        <f t="shared" si="903"/>
        <v>605</v>
      </c>
      <c r="C4356" s="7" t="s">
        <v>2354</v>
      </c>
      <c r="D4356" s="7" t="s">
        <v>3433</v>
      </c>
      <c r="E4356" s="7" t="str">
        <f>"李名恒"</f>
        <v>李名恒</v>
      </c>
      <c r="F4356" s="7" t="str">
        <f t="shared" si="904"/>
        <v>男</v>
      </c>
      <c r="G4356" s="7" t="s">
        <v>3501</v>
      </c>
      <c r="H4356" s="8"/>
    </row>
    <row r="4357" ht="25" customHeight="1" spans="1:8">
      <c r="A4357" s="6">
        <v>4355</v>
      </c>
      <c r="B4357" s="7" t="str">
        <f t="shared" si="903"/>
        <v>605</v>
      </c>
      <c r="C4357" s="7" t="s">
        <v>2354</v>
      </c>
      <c r="D4357" s="7" t="s">
        <v>3433</v>
      </c>
      <c r="E4357" s="7" t="str">
        <f>"吴坤峰"</f>
        <v>吴坤峰</v>
      </c>
      <c r="F4357" s="7" t="str">
        <f t="shared" si="904"/>
        <v>男</v>
      </c>
      <c r="G4357" s="7" t="s">
        <v>3502</v>
      </c>
      <c r="H4357" s="8"/>
    </row>
    <row r="4358" ht="25" customHeight="1" spans="1:8">
      <c r="A4358" s="6">
        <v>4356</v>
      </c>
      <c r="B4358" s="7" t="str">
        <f t="shared" si="903"/>
        <v>605</v>
      </c>
      <c r="C4358" s="7" t="s">
        <v>2354</v>
      </c>
      <c r="D4358" s="7" t="s">
        <v>3433</v>
      </c>
      <c r="E4358" s="7" t="str">
        <f>"潘奕言"</f>
        <v>潘奕言</v>
      </c>
      <c r="F4358" s="7" t="str">
        <f t="shared" ref="F4358:F4362" si="905">"女"</f>
        <v>女</v>
      </c>
      <c r="G4358" s="7" t="s">
        <v>489</v>
      </c>
      <c r="H4358" s="8"/>
    </row>
    <row r="4359" ht="25" customHeight="1" spans="1:8">
      <c r="A4359" s="6">
        <v>4357</v>
      </c>
      <c r="B4359" s="7" t="str">
        <f t="shared" si="903"/>
        <v>605</v>
      </c>
      <c r="C4359" s="7" t="s">
        <v>2354</v>
      </c>
      <c r="D4359" s="7" t="s">
        <v>3433</v>
      </c>
      <c r="E4359" s="7" t="str">
        <f>"陈清心"</f>
        <v>陈清心</v>
      </c>
      <c r="F4359" s="7" t="str">
        <f t="shared" si="905"/>
        <v>女</v>
      </c>
      <c r="G4359" s="7" t="s">
        <v>3503</v>
      </c>
      <c r="H4359" s="8"/>
    </row>
    <row r="4360" ht="25" customHeight="1" spans="1:8">
      <c r="A4360" s="6">
        <v>4358</v>
      </c>
      <c r="B4360" s="7" t="str">
        <f t="shared" si="903"/>
        <v>605</v>
      </c>
      <c r="C4360" s="7" t="s">
        <v>2354</v>
      </c>
      <c r="D4360" s="7" t="s">
        <v>3433</v>
      </c>
      <c r="E4360" s="7" t="str">
        <f>"冯婷丽"</f>
        <v>冯婷丽</v>
      </c>
      <c r="F4360" s="7" t="str">
        <f t="shared" si="905"/>
        <v>女</v>
      </c>
      <c r="G4360" s="7" t="s">
        <v>771</v>
      </c>
      <c r="H4360" s="8"/>
    </row>
    <row r="4361" ht="25" customHeight="1" spans="1:8">
      <c r="A4361" s="6">
        <v>4359</v>
      </c>
      <c r="B4361" s="7" t="str">
        <f t="shared" si="903"/>
        <v>605</v>
      </c>
      <c r="C4361" s="7" t="s">
        <v>2354</v>
      </c>
      <c r="D4361" s="7" t="s">
        <v>3433</v>
      </c>
      <c r="E4361" s="7" t="str">
        <f>"向奕遐"</f>
        <v>向奕遐</v>
      </c>
      <c r="F4361" s="7" t="str">
        <f t="shared" si="905"/>
        <v>女</v>
      </c>
      <c r="G4361" s="7" t="s">
        <v>262</v>
      </c>
      <c r="H4361" s="8"/>
    </row>
    <row r="4362" ht="25" customHeight="1" spans="1:8">
      <c r="A4362" s="6">
        <v>4360</v>
      </c>
      <c r="B4362" s="7" t="str">
        <f t="shared" si="903"/>
        <v>605</v>
      </c>
      <c r="C4362" s="7" t="s">
        <v>2354</v>
      </c>
      <c r="D4362" s="7" t="s">
        <v>3433</v>
      </c>
      <c r="E4362" s="7" t="str">
        <f>"李桐桐"</f>
        <v>李桐桐</v>
      </c>
      <c r="F4362" s="7" t="str">
        <f t="shared" si="905"/>
        <v>女</v>
      </c>
      <c r="G4362" s="7" t="s">
        <v>184</v>
      </c>
      <c r="H4362" s="8"/>
    </row>
    <row r="4363" ht="25" customHeight="1" spans="1:8">
      <c r="A4363" s="6">
        <v>4361</v>
      </c>
      <c r="B4363" s="7" t="str">
        <f t="shared" si="903"/>
        <v>605</v>
      </c>
      <c r="C4363" s="7" t="s">
        <v>2354</v>
      </c>
      <c r="D4363" s="7" t="s">
        <v>3433</v>
      </c>
      <c r="E4363" s="7" t="str">
        <f>"李培强"</f>
        <v>李培强</v>
      </c>
      <c r="F4363" s="7" t="str">
        <f t="shared" ref="F4363:F4367" si="906">"男"</f>
        <v>男</v>
      </c>
      <c r="G4363" s="7" t="s">
        <v>3504</v>
      </c>
      <c r="H4363" s="8"/>
    </row>
    <row r="4364" ht="25" customHeight="1" spans="1:8">
      <c r="A4364" s="6">
        <v>4362</v>
      </c>
      <c r="B4364" s="7" t="str">
        <f t="shared" si="903"/>
        <v>605</v>
      </c>
      <c r="C4364" s="7" t="s">
        <v>2354</v>
      </c>
      <c r="D4364" s="7" t="s">
        <v>3433</v>
      </c>
      <c r="E4364" s="7" t="str">
        <f>"吴仁杰"</f>
        <v>吴仁杰</v>
      </c>
      <c r="F4364" s="7" t="str">
        <f t="shared" si="906"/>
        <v>男</v>
      </c>
      <c r="G4364" s="7" t="s">
        <v>848</v>
      </c>
      <c r="H4364" s="8"/>
    </row>
    <row r="4365" ht="25" customHeight="1" spans="1:8">
      <c r="A4365" s="6">
        <v>4363</v>
      </c>
      <c r="B4365" s="7" t="str">
        <f t="shared" si="903"/>
        <v>605</v>
      </c>
      <c r="C4365" s="7" t="s">
        <v>2354</v>
      </c>
      <c r="D4365" s="7" t="s">
        <v>3433</v>
      </c>
      <c r="E4365" s="7" t="str">
        <f>"蔡菲菲"</f>
        <v>蔡菲菲</v>
      </c>
      <c r="F4365" s="7" t="str">
        <f t="shared" ref="F4365:F4375" si="907">"女"</f>
        <v>女</v>
      </c>
      <c r="G4365" s="7" t="s">
        <v>2615</v>
      </c>
      <c r="H4365" s="8"/>
    </row>
    <row r="4366" ht="25" customHeight="1" spans="1:8">
      <c r="A4366" s="6">
        <v>4364</v>
      </c>
      <c r="B4366" s="7" t="str">
        <f t="shared" si="903"/>
        <v>605</v>
      </c>
      <c r="C4366" s="7" t="s">
        <v>2354</v>
      </c>
      <c r="D4366" s="7" t="s">
        <v>3433</v>
      </c>
      <c r="E4366" s="7" t="str">
        <f>"符开妍"</f>
        <v>符开妍</v>
      </c>
      <c r="F4366" s="7" t="str">
        <f t="shared" si="907"/>
        <v>女</v>
      </c>
      <c r="G4366" s="7" t="s">
        <v>348</v>
      </c>
      <c r="H4366" s="8"/>
    </row>
    <row r="4367" ht="25" customHeight="1" spans="1:8">
      <c r="A4367" s="6">
        <v>4365</v>
      </c>
      <c r="B4367" s="7" t="str">
        <f t="shared" si="903"/>
        <v>605</v>
      </c>
      <c r="C4367" s="7" t="s">
        <v>2354</v>
      </c>
      <c r="D4367" s="7" t="s">
        <v>3433</v>
      </c>
      <c r="E4367" s="7" t="str">
        <f>"郑俊涛"</f>
        <v>郑俊涛</v>
      </c>
      <c r="F4367" s="7" t="str">
        <f t="shared" si="906"/>
        <v>男</v>
      </c>
      <c r="G4367" s="7" t="s">
        <v>3505</v>
      </c>
      <c r="H4367" s="8"/>
    </row>
    <row r="4368" ht="25" customHeight="1" spans="1:8">
      <c r="A4368" s="6">
        <v>4366</v>
      </c>
      <c r="B4368" s="7" t="str">
        <f t="shared" si="903"/>
        <v>605</v>
      </c>
      <c r="C4368" s="7" t="s">
        <v>2354</v>
      </c>
      <c r="D4368" s="7" t="s">
        <v>3433</v>
      </c>
      <c r="E4368" s="7" t="str">
        <f>"王欣"</f>
        <v>王欣</v>
      </c>
      <c r="F4368" s="7" t="str">
        <f t="shared" si="907"/>
        <v>女</v>
      </c>
      <c r="G4368" s="7" t="s">
        <v>3506</v>
      </c>
      <c r="H4368" s="8"/>
    </row>
    <row r="4369" ht="25" customHeight="1" spans="1:8">
      <c r="A4369" s="6">
        <v>4367</v>
      </c>
      <c r="B4369" s="7" t="str">
        <f t="shared" si="903"/>
        <v>605</v>
      </c>
      <c r="C4369" s="7" t="s">
        <v>2354</v>
      </c>
      <c r="D4369" s="7" t="s">
        <v>3433</v>
      </c>
      <c r="E4369" s="7" t="str">
        <f>"许艳菊"</f>
        <v>许艳菊</v>
      </c>
      <c r="F4369" s="7" t="str">
        <f t="shared" si="907"/>
        <v>女</v>
      </c>
      <c r="G4369" s="7" t="s">
        <v>3507</v>
      </c>
      <c r="H4369" s="8"/>
    </row>
    <row r="4370" ht="25" customHeight="1" spans="1:8">
      <c r="A4370" s="6">
        <v>4368</v>
      </c>
      <c r="B4370" s="7" t="str">
        <f t="shared" si="903"/>
        <v>605</v>
      </c>
      <c r="C4370" s="7" t="s">
        <v>2354</v>
      </c>
      <c r="D4370" s="7" t="s">
        <v>3433</v>
      </c>
      <c r="E4370" s="7" t="str">
        <f>"王倩"</f>
        <v>王倩</v>
      </c>
      <c r="F4370" s="7" t="str">
        <f t="shared" si="907"/>
        <v>女</v>
      </c>
      <c r="G4370" s="7" t="s">
        <v>593</v>
      </c>
      <c r="H4370" s="8"/>
    </row>
    <row r="4371" ht="25" customHeight="1" spans="1:8">
      <c r="A4371" s="6">
        <v>4369</v>
      </c>
      <c r="B4371" s="7" t="str">
        <f t="shared" si="903"/>
        <v>605</v>
      </c>
      <c r="C4371" s="7" t="s">
        <v>2354</v>
      </c>
      <c r="D4371" s="7" t="s">
        <v>3433</v>
      </c>
      <c r="E4371" s="7" t="str">
        <f>"吴尚奋"</f>
        <v>吴尚奋</v>
      </c>
      <c r="F4371" s="7" t="str">
        <f t="shared" si="907"/>
        <v>女</v>
      </c>
      <c r="G4371" s="7" t="s">
        <v>3508</v>
      </c>
      <c r="H4371" s="8"/>
    </row>
    <row r="4372" ht="25" customHeight="1" spans="1:8">
      <c r="A4372" s="6">
        <v>4370</v>
      </c>
      <c r="B4372" s="7" t="str">
        <f t="shared" si="903"/>
        <v>605</v>
      </c>
      <c r="C4372" s="7" t="s">
        <v>2354</v>
      </c>
      <c r="D4372" s="7" t="s">
        <v>3433</v>
      </c>
      <c r="E4372" s="7" t="str">
        <f>"邵思莹"</f>
        <v>邵思莹</v>
      </c>
      <c r="F4372" s="7" t="str">
        <f t="shared" si="907"/>
        <v>女</v>
      </c>
      <c r="G4372" s="7" t="s">
        <v>2308</v>
      </c>
      <c r="H4372" s="8"/>
    </row>
    <row r="4373" ht="25" customHeight="1" spans="1:8">
      <c r="A4373" s="6">
        <v>4371</v>
      </c>
      <c r="B4373" s="7" t="str">
        <f t="shared" si="903"/>
        <v>605</v>
      </c>
      <c r="C4373" s="7" t="s">
        <v>2354</v>
      </c>
      <c r="D4373" s="7" t="s">
        <v>3433</v>
      </c>
      <c r="E4373" s="7" t="str">
        <f>"苏宝儿"</f>
        <v>苏宝儿</v>
      </c>
      <c r="F4373" s="7" t="str">
        <f t="shared" si="907"/>
        <v>女</v>
      </c>
      <c r="G4373" s="7" t="s">
        <v>3509</v>
      </c>
      <c r="H4373" s="8"/>
    </row>
    <row r="4374" ht="25" customHeight="1" spans="1:8">
      <c r="A4374" s="6">
        <v>4372</v>
      </c>
      <c r="B4374" s="7" t="str">
        <f t="shared" si="903"/>
        <v>605</v>
      </c>
      <c r="C4374" s="7" t="s">
        <v>2354</v>
      </c>
      <c r="D4374" s="7" t="s">
        <v>3433</v>
      </c>
      <c r="E4374" s="7" t="str">
        <f>"陈娜"</f>
        <v>陈娜</v>
      </c>
      <c r="F4374" s="7" t="str">
        <f t="shared" si="907"/>
        <v>女</v>
      </c>
      <c r="G4374" s="7" t="s">
        <v>3510</v>
      </c>
      <c r="H4374" s="8"/>
    </row>
    <row r="4375" ht="25" customHeight="1" spans="1:8">
      <c r="A4375" s="6">
        <v>4373</v>
      </c>
      <c r="B4375" s="7" t="str">
        <f t="shared" si="903"/>
        <v>605</v>
      </c>
      <c r="C4375" s="7" t="s">
        <v>2354</v>
      </c>
      <c r="D4375" s="7" t="s">
        <v>3433</v>
      </c>
      <c r="E4375" s="7" t="str">
        <f>"林建娥"</f>
        <v>林建娥</v>
      </c>
      <c r="F4375" s="7" t="str">
        <f t="shared" si="907"/>
        <v>女</v>
      </c>
      <c r="G4375" s="7" t="s">
        <v>3511</v>
      </c>
      <c r="H4375" s="8"/>
    </row>
    <row r="4376" ht="25" customHeight="1" spans="1:8">
      <c r="A4376" s="6">
        <v>4374</v>
      </c>
      <c r="B4376" s="7" t="str">
        <f t="shared" si="903"/>
        <v>605</v>
      </c>
      <c r="C4376" s="7" t="s">
        <v>2354</v>
      </c>
      <c r="D4376" s="7" t="s">
        <v>3433</v>
      </c>
      <c r="E4376" s="7" t="str">
        <f>"唐甸杰"</f>
        <v>唐甸杰</v>
      </c>
      <c r="F4376" s="7" t="str">
        <f>"男"</f>
        <v>男</v>
      </c>
      <c r="G4376" s="7" t="s">
        <v>3512</v>
      </c>
      <c r="H4376" s="8"/>
    </row>
    <row r="4377" ht="25" customHeight="1" spans="1:8">
      <c r="A4377" s="6">
        <v>4375</v>
      </c>
      <c r="B4377" s="7" t="str">
        <f t="shared" si="903"/>
        <v>605</v>
      </c>
      <c r="C4377" s="7" t="s">
        <v>2354</v>
      </c>
      <c r="D4377" s="7" t="s">
        <v>3433</v>
      </c>
      <c r="E4377" s="7" t="str">
        <f>"赵月钰"</f>
        <v>赵月钰</v>
      </c>
      <c r="F4377" s="7" t="str">
        <f t="shared" ref="F4377:F4383" si="908">"女"</f>
        <v>女</v>
      </c>
      <c r="G4377" s="7" t="s">
        <v>1124</v>
      </c>
      <c r="H4377" s="8"/>
    </row>
    <row r="4378" ht="25" customHeight="1" spans="1:8">
      <c r="A4378" s="6">
        <v>4376</v>
      </c>
      <c r="B4378" s="7" t="str">
        <f t="shared" si="903"/>
        <v>605</v>
      </c>
      <c r="C4378" s="7" t="s">
        <v>2354</v>
      </c>
      <c r="D4378" s="7" t="s">
        <v>3433</v>
      </c>
      <c r="E4378" s="7" t="str">
        <f>"符佳馨"</f>
        <v>符佳馨</v>
      </c>
      <c r="F4378" s="7" t="str">
        <f t="shared" si="908"/>
        <v>女</v>
      </c>
      <c r="G4378" s="7" t="s">
        <v>3513</v>
      </c>
      <c r="H4378" s="8"/>
    </row>
    <row r="4379" ht="25" customHeight="1" spans="1:8">
      <c r="A4379" s="6">
        <v>4377</v>
      </c>
      <c r="B4379" s="7" t="str">
        <f t="shared" si="903"/>
        <v>605</v>
      </c>
      <c r="C4379" s="7" t="s">
        <v>2354</v>
      </c>
      <c r="D4379" s="7" t="s">
        <v>3433</v>
      </c>
      <c r="E4379" s="7" t="str">
        <f>"张浩南"</f>
        <v>张浩南</v>
      </c>
      <c r="F4379" s="7" t="str">
        <f t="shared" si="908"/>
        <v>女</v>
      </c>
      <c r="G4379" s="7" t="s">
        <v>3514</v>
      </c>
      <c r="H4379" s="8"/>
    </row>
    <row r="4380" ht="25" customHeight="1" spans="1:8">
      <c r="A4380" s="6">
        <v>4378</v>
      </c>
      <c r="B4380" s="7" t="str">
        <f t="shared" si="903"/>
        <v>605</v>
      </c>
      <c r="C4380" s="7" t="s">
        <v>2354</v>
      </c>
      <c r="D4380" s="7" t="s">
        <v>3433</v>
      </c>
      <c r="E4380" s="7" t="str">
        <f>"符晶晶"</f>
        <v>符晶晶</v>
      </c>
      <c r="F4380" s="7" t="str">
        <f t="shared" si="908"/>
        <v>女</v>
      </c>
      <c r="G4380" s="7" t="s">
        <v>3515</v>
      </c>
      <c r="H4380" s="8"/>
    </row>
    <row r="4381" ht="25" customHeight="1" spans="1:8">
      <c r="A4381" s="6">
        <v>4379</v>
      </c>
      <c r="B4381" s="7" t="str">
        <f t="shared" si="903"/>
        <v>605</v>
      </c>
      <c r="C4381" s="7" t="s">
        <v>2354</v>
      </c>
      <c r="D4381" s="7" t="s">
        <v>3433</v>
      </c>
      <c r="E4381" s="7" t="str">
        <f>"傅丽清"</f>
        <v>傅丽清</v>
      </c>
      <c r="F4381" s="7" t="str">
        <f t="shared" si="908"/>
        <v>女</v>
      </c>
      <c r="G4381" s="7" t="s">
        <v>751</v>
      </c>
      <c r="H4381" s="8"/>
    </row>
    <row r="4382" ht="25" customHeight="1" spans="1:8">
      <c r="A4382" s="6">
        <v>4380</v>
      </c>
      <c r="B4382" s="7" t="str">
        <f t="shared" si="903"/>
        <v>605</v>
      </c>
      <c r="C4382" s="7" t="s">
        <v>2354</v>
      </c>
      <c r="D4382" s="7" t="s">
        <v>3433</v>
      </c>
      <c r="E4382" s="7" t="str">
        <f>"关业莹"</f>
        <v>关业莹</v>
      </c>
      <c r="F4382" s="7" t="str">
        <f t="shared" si="908"/>
        <v>女</v>
      </c>
      <c r="G4382" s="7" t="s">
        <v>3516</v>
      </c>
      <c r="H4382" s="8"/>
    </row>
    <row r="4383" ht="25" customHeight="1" spans="1:8">
      <c r="A4383" s="6">
        <v>4381</v>
      </c>
      <c r="B4383" s="7" t="str">
        <f t="shared" si="903"/>
        <v>605</v>
      </c>
      <c r="C4383" s="7" t="s">
        <v>2354</v>
      </c>
      <c r="D4383" s="7" t="s">
        <v>3433</v>
      </c>
      <c r="E4383" s="7" t="str">
        <f>"王慧"</f>
        <v>王慧</v>
      </c>
      <c r="F4383" s="7" t="str">
        <f t="shared" si="908"/>
        <v>女</v>
      </c>
      <c r="G4383" s="7" t="s">
        <v>1362</v>
      </c>
      <c r="H4383" s="8"/>
    </row>
    <row r="4384" ht="25" customHeight="1" spans="1:8">
      <c r="A4384" s="6">
        <v>4382</v>
      </c>
      <c r="B4384" s="7" t="str">
        <f t="shared" si="903"/>
        <v>605</v>
      </c>
      <c r="C4384" s="7" t="s">
        <v>2354</v>
      </c>
      <c r="D4384" s="7" t="s">
        <v>3433</v>
      </c>
      <c r="E4384" s="7" t="str">
        <f>"陈明程"</f>
        <v>陈明程</v>
      </c>
      <c r="F4384" s="7" t="str">
        <f>"男"</f>
        <v>男</v>
      </c>
      <c r="G4384" s="7" t="s">
        <v>3248</v>
      </c>
      <c r="H4384" s="8"/>
    </row>
    <row r="4385" ht="25" customHeight="1" spans="1:8">
      <c r="A4385" s="6">
        <v>4383</v>
      </c>
      <c r="B4385" s="7" t="str">
        <f t="shared" si="903"/>
        <v>605</v>
      </c>
      <c r="C4385" s="7" t="s">
        <v>2354</v>
      </c>
      <c r="D4385" s="7" t="s">
        <v>3433</v>
      </c>
      <c r="E4385" s="7" t="str">
        <f>"张美转"</f>
        <v>张美转</v>
      </c>
      <c r="F4385" s="7" t="str">
        <f t="shared" ref="F4385:F4391" si="909">"女"</f>
        <v>女</v>
      </c>
      <c r="G4385" s="7" t="s">
        <v>2356</v>
      </c>
      <c r="H4385" s="8"/>
    </row>
    <row r="4386" ht="25" customHeight="1" spans="1:8">
      <c r="A4386" s="6">
        <v>4384</v>
      </c>
      <c r="B4386" s="7" t="str">
        <f t="shared" si="903"/>
        <v>605</v>
      </c>
      <c r="C4386" s="7" t="s">
        <v>2354</v>
      </c>
      <c r="D4386" s="7" t="s">
        <v>3433</v>
      </c>
      <c r="E4386" s="7" t="str">
        <f>"张贵民"</f>
        <v>张贵民</v>
      </c>
      <c r="F4386" s="7" t="str">
        <f>"男"</f>
        <v>男</v>
      </c>
      <c r="G4386" s="7" t="s">
        <v>3517</v>
      </c>
      <c r="H4386" s="8"/>
    </row>
    <row r="4387" ht="25" customHeight="1" spans="1:8">
      <c r="A4387" s="6">
        <v>4385</v>
      </c>
      <c r="B4387" s="7" t="str">
        <f t="shared" si="903"/>
        <v>605</v>
      </c>
      <c r="C4387" s="7" t="s">
        <v>2354</v>
      </c>
      <c r="D4387" s="7" t="s">
        <v>3433</v>
      </c>
      <c r="E4387" s="7" t="str">
        <f>"戴梦怡"</f>
        <v>戴梦怡</v>
      </c>
      <c r="F4387" s="7" t="str">
        <f t="shared" si="909"/>
        <v>女</v>
      </c>
      <c r="G4387" s="7" t="s">
        <v>3518</v>
      </c>
      <c r="H4387" s="8"/>
    </row>
    <row r="4388" ht="25" customHeight="1" spans="1:8">
      <c r="A4388" s="6">
        <v>4386</v>
      </c>
      <c r="B4388" s="7" t="str">
        <f t="shared" si="903"/>
        <v>605</v>
      </c>
      <c r="C4388" s="7" t="s">
        <v>2354</v>
      </c>
      <c r="D4388" s="7" t="s">
        <v>3433</v>
      </c>
      <c r="E4388" s="7" t="str">
        <f>"林霏"</f>
        <v>林霏</v>
      </c>
      <c r="F4388" s="7" t="str">
        <f t="shared" si="909"/>
        <v>女</v>
      </c>
      <c r="G4388" s="7" t="s">
        <v>1531</v>
      </c>
      <c r="H4388" s="8"/>
    </row>
    <row r="4389" ht="25" customHeight="1" spans="1:8">
      <c r="A4389" s="6">
        <v>4387</v>
      </c>
      <c r="B4389" s="7" t="str">
        <f t="shared" si="903"/>
        <v>605</v>
      </c>
      <c r="C4389" s="7" t="s">
        <v>2354</v>
      </c>
      <c r="D4389" s="7" t="s">
        <v>3433</v>
      </c>
      <c r="E4389" s="7" t="str">
        <f>"秦金辉"</f>
        <v>秦金辉</v>
      </c>
      <c r="F4389" s="7" t="str">
        <f t="shared" si="909"/>
        <v>女</v>
      </c>
      <c r="G4389" s="7" t="s">
        <v>1556</v>
      </c>
      <c r="H4389" s="8"/>
    </row>
    <row r="4390" ht="25" customHeight="1" spans="1:8">
      <c r="A4390" s="6">
        <v>4388</v>
      </c>
      <c r="B4390" s="7" t="str">
        <f t="shared" si="903"/>
        <v>605</v>
      </c>
      <c r="C4390" s="7" t="s">
        <v>2354</v>
      </c>
      <c r="D4390" s="7" t="s">
        <v>3433</v>
      </c>
      <c r="E4390" s="7" t="str">
        <f>"翁枫婷"</f>
        <v>翁枫婷</v>
      </c>
      <c r="F4390" s="7" t="str">
        <f t="shared" si="909"/>
        <v>女</v>
      </c>
      <c r="G4390" s="7" t="s">
        <v>459</v>
      </c>
      <c r="H4390" s="8"/>
    </row>
    <row r="4391" ht="25" customHeight="1" spans="1:8">
      <c r="A4391" s="6">
        <v>4389</v>
      </c>
      <c r="B4391" s="7" t="str">
        <f t="shared" si="903"/>
        <v>605</v>
      </c>
      <c r="C4391" s="7" t="s">
        <v>2354</v>
      </c>
      <c r="D4391" s="7" t="s">
        <v>3433</v>
      </c>
      <c r="E4391" s="7" t="str">
        <f>"许春绚"</f>
        <v>许春绚</v>
      </c>
      <c r="F4391" s="7" t="str">
        <f t="shared" si="909"/>
        <v>女</v>
      </c>
      <c r="G4391" s="7" t="s">
        <v>3519</v>
      </c>
      <c r="H4391" s="8"/>
    </row>
    <row r="4392" ht="25" customHeight="1" spans="1:8">
      <c r="A4392" s="6">
        <v>4390</v>
      </c>
      <c r="B4392" s="7" t="str">
        <f t="shared" si="903"/>
        <v>605</v>
      </c>
      <c r="C4392" s="7" t="s">
        <v>2354</v>
      </c>
      <c r="D4392" s="7" t="s">
        <v>3433</v>
      </c>
      <c r="E4392" s="7" t="str">
        <f>"曾健怀"</f>
        <v>曾健怀</v>
      </c>
      <c r="F4392" s="7" t="str">
        <f>"男"</f>
        <v>男</v>
      </c>
      <c r="G4392" s="7" t="s">
        <v>3520</v>
      </c>
      <c r="H4392" s="8"/>
    </row>
    <row r="4393" ht="25" customHeight="1" spans="1:8">
      <c r="A4393" s="6">
        <v>4391</v>
      </c>
      <c r="B4393" s="7" t="str">
        <f t="shared" si="903"/>
        <v>605</v>
      </c>
      <c r="C4393" s="7" t="s">
        <v>2354</v>
      </c>
      <c r="D4393" s="7" t="s">
        <v>3433</v>
      </c>
      <c r="E4393" s="7" t="str">
        <f>"叶颜"</f>
        <v>叶颜</v>
      </c>
      <c r="F4393" s="7" t="str">
        <f t="shared" ref="F4393:F4395" si="910">"女"</f>
        <v>女</v>
      </c>
      <c r="G4393" s="7" t="s">
        <v>1844</v>
      </c>
      <c r="H4393" s="8"/>
    </row>
    <row r="4394" ht="25" customHeight="1" spans="1:8">
      <c r="A4394" s="6">
        <v>4392</v>
      </c>
      <c r="B4394" s="7" t="str">
        <f t="shared" si="903"/>
        <v>605</v>
      </c>
      <c r="C4394" s="7" t="s">
        <v>2354</v>
      </c>
      <c r="D4394" s="7" t="s">
        <v>3433</v>
      </c>
      <c r="E4394" s="7" t="str">
        <f>"林主萍"</f>
        <v>林主萍</v>
      </c>
      <c r="F4394" s="7" t="str">
        <f t="shared" si="910"/>
        <v>女</v>
      </c>
      <c r="G4394" s="7" t="s">
        <v>374</v>
      </c>
      <c r="H4394" s="8"/>
    </row>
    <row r="4395" ht="25" customHeight="1" spans="1:8">
      <c r="A4395" s="6">
        <v>4393</v>
      </c>
      <c r="B4395" s="7" t="str">
        <f t="shared" si="903"/>
        <v>605</v>
      </c>
      <c r="C4395" s="7" t="s">
        <v>2354</v>
      </c>
      <c r="D4395" s="7" t="s">
        <v>3433</v>
      </c>
      <c r="E4395" s="7" t="str">
        <f>"李青燕"</f>
        <v>李青燕</v>
      </c>
      <c r="F4395" s="7" t="str">
        <f t="shared" si="910"/>
        <v>女</v>
      </c>
      <c r="G4395" s="7" t="s">
        <v>3521</v>
      </c>
      <c r="H4395" s="8"/>
    </row>
    <row r="4396" ht="25" customHeight="1" spans="1:8">
      <c r="A4396" s="6">
        <v>4394</v>
      </c>
      <c r="B4396" s="7" t="str">
        <f t="shared" si="903"/>
        <v>605</v>
      </c>
      <c r="C4396" s="7" t="s">
        <v>2354</v>
      </c>
      <c r="D4396" s="7" t="s">
        <v>3433</v>
      </c>
      <c r="E4396" s="7" t="str">
        <f>"王之友"</f>
        <v>王之友</v>
      </c>
      <c r="F4396" s="7" t="str">
        <f>"男"</f>
        <v>男</v>
      </c>
      <c r="G4396" s="7" t="s">
        <v>3522</v>
      </c>
      <c r="H4396" s="8"/>
    </row>
    <row r="4397" ht="25" customHeight="1" spans="1:8">
      <c r="A4397" s="6">
        <v>4395</v>
      </c>
      <c r="B4397" s="7" t="str">
        <f t="shared" si="903"/>
        <v>605</v>
      </c>
      <c r="C4397" s="7" t="s">
        <v>2354</v>
      </c>
      <c r="D4397" s="7" t="s">
        <v>3433</v>
      </c>
      <c r="E4397" s="7" t="str">
        <f>"符以彩"</f>
        <v>符以彩</v>
      </c>
      <c r="F4397" s="7" t="str">
        <f t="shared" ref="F4397:F4400" si="911">"女"</f>
        <v>女</v>
      </c>
      <c r="G4397" s="7" t="s">
        <v>3523</v>
      </c>
      <c r="H4397" s="8"/>
    </row>
    <row r="4398" ht="25" customHeight="1" spans="1:8">
      <c r="A4398" s="6">
        <v>4396</v>
      </c>
      <c r="B4398" s="7" t="str">
        <f t="shared" si="903"/>
        <v>605</v>
      </c>
      <c r="C4398" s="7" t="s">
        <v>2354</v>
      </c>
      <c r="D4398" s="7" t="s">
        <v>3433</v>
      </c>
      <c r="E4398" s="7" t="str">
        <f>"吴名菲"</f>
        <v>吴名菲</v>
      </c>
      <c r="F4398" s="7" t="str">
        <f t="shared" si="911"/>
        <v>女</v>
      </c>
      <c r="G4398" s="7" t="s">
        <v>3524</v>
      </c>
      <c r="H4398" s="8"/>
    </row>
    <row r="4399" ht="25" customHeight="1" spans="1:8">
      <c r="A4399" s="6">
        <v>4397</v>
      </c>
      <c r="B4399" s="7" t="str">
        <f t="shared" si="903"/>
        <v>605</v>
      </c>
      <c r="C4399" s="7" t="s">
        <v>2354</v>
      </c>
      <c r="D4399" s="7" t="s">
        <v>3433</v>
      </c>
      <c r="E4399" s="7" t="str">
        <f>"王心然"</f>
        <v>王心然</v>
      </c>
      <c r="F4399" s="7" t="str">
        <f t="shared" si="911"/>
        <v>女</v>
      </c>
      <c r="G4399" s="7" t="s">
        <v>3525</v>
      </c>
      <c r="H4399" s="8"/>
    </row>
    <row r="4400" ht="25" customHeight="1" spans="1:8">
      <c r="A4400" s="6">
        <v>4398</v>
      </c>
      <c r="B4400" s="7" t="str">
        <f t="shared" si="903"/>
        <v>605</v>
      </c>
      <c r="C4400" s="7" t="s">
        <v>2354</v>
      </c>
      <c r="D4400" s="7" t="s">
        <v>3433</v>
      </c>
      <c r="E4400" s="7" t="str">
        <f>"劳梦怡"</f>
        <v>劳梦怡</v>
      </c>
      <c r="F4400" s="7" t="str">
        <f t="shared" si="911"/>
        <v>女</v>
      </c>
      <c r="G4400" s="7" t="s">
        <v>3526</v>
      </c>
      <c r="H4400" s="8"/>
    </row>
    <row r="4401" ht="25" customHeight="1" spans="1:8">
      <c r="A4401" s="6">
        <v>4399</v>
      </c>
      <c r="B4401" s="7" t="str">
        <f t="shared" si="903"/>
        <v>605</v>
      </c>
      <c r="C4401" s="7" t="s">
        <v>2354</v>
      </c>
      <c r="D4401" s="7" t="s">
        <v>3433</v>
      </c>
      <c r="E4401" s="7" t="str">
        <f>"张财庆"</f>
        <v>张财庆</v>
      </c>
      <c r="F4401" s="7" t="str">
        <f>"男"</f>
        <v>男</v>
      </c>
      <c r="G4401" s="7" t="s">
        <v>3527</v>
      </c>
      <c r="H4401" s="8"/>
    </row>
    <row r="4402" ht="25" customHeight="1" spans="1:8">
      <c r="A4402" s="6">
        <v>4400</v>
      </c>
      <c r="B4402" s="7" t="str">
        <f t="shared" si="903"/>
        <v>605</v>
      </c>
      <c r="C4402" s="7" t="s">
        <v>2354</v>
      </c>
      <c r="D4402" s="7" t="s">
        <v>3433</v>
      </c>
      <c r="E4402" s="7" t="str">
        <f>"符進梅"</f>
        <v>符進梅</v>
      </c>
      <c r="F4402" s="7" t="str">
        <f t="shared" ref="F4402:F4410" si="912">"女"</f>
        <v>女</v>
      </c>
      <c r="G4402" s="7" t="s">
        <v>3528</v>
      </c>
      <c r="H4402" s="8"/>
    </row>
    <row r="4403" ht="25" customHeight="1" spans="1:8">
      <c r="A4403" s="6">
        <v>4401</v>
      </c>
      <c r="B4403" s="7" t="str">
        <f t="shared" si="903"/>
        <v>605</v>
      </c>
      <c r="C4403" s="7" t="s">
        <v>2354</v>
      </c>
      <c r="D4403" s="7" t="s">
        <v>3433</v>
      </c>
      <c r="E4403" s="7" t="str">
        <f>"朱炳光"</f>
        <v>朱炳光</v>
      </c>
      <c r="F4403" s="7" t="str">
        <f>"男"</f>
        <v>男</v>
      </c>
      <c r="G4403" s="7" t="s">
        <v>3529</v>
      </c>
      <c r="H4403" s="8"/>
    </row>
    <row r="4404" ht="25" customHeight="1" spans="1:8">
      <c r="A4404" s="6">
        <v>4402</v>
      </c>
      <c r="B4404" s="7" t="str">
        <f t="shared" si="903"/>
        <v>605</v>
      </c>
      <c r="C4404" s="7" t="s">
        <v>2354</v>
      </c>
      <c r="D4404" s="7" t="s">
        <v>3433</v>
      </c>
      <c r="E4404" s="7" t="str">
        <f>"史云潇"</f>
        <v>史云潇</v>
      </c>
      <c r="F4404" s="7" t="str">
        <f t="shared" si="912"/>
        <v>女</v>
      </c>
      <c r="G4404" s="7" t="s">
        <v>3530</v>
      </c>
      <c r="H4404" s="8"/>
    </row>
    <row r="4405" ht="25" customHeight="1" spans="1:8">
      <c r="A4405" s="6">
        <v>4403</v>
      </c>
      <c r="B4405" s="7" t="str">
        <f t="shared" si="903"/>
        <v>605</v>
      </c>
      <c r="C4405" s="7" t="s">
        <v>2354</v>
      </c>
      <c r="D4405" s="7" t="s">
        <v>3433</v>
      </c>
      <c r="E4405" s="7" t="str">
        <f>"林琳"</f>
        <v>林琳</v>
      </c>
      <c r="F4405" s="7" t="str">
        <f t="shared" si="912"/>
        <v>女</v>
      </c>
      <c r="G4405" s="7" t="s">
        <v>728</v>
      </c>
      <c r="H4405" s="8"/>
    </row>
    <row r="4406" ht="25" customHeight="1" spans="1:8">
      <c r="A4406" s="6">
        <v>4404</v>
      </c>
      <c r="B4406" s="7" t="str">
        <f t="shared" si="903"/>
        <v>605</v>
      </c>
      <c r="C4406" s="7" t="s">
        <v>2354</v>
      </c>
      <c r="D4406" s="7" t="s">
        <v>3433</v>
      </c>
      <c r="E4406" s="7" t="str">
        <f>"王年佳"</f>
        <v>王年佳</v>
      </c>
      <c r="F4406" s="7" t="str">
        <f t="shared" si="912"/>
        <v>女</v>
      </c>
      <c r="G4406" s="7" t="s">
        <v>3531</v>
      </c>
      <c r="H4406" s="8"/>
    </row>
    <row r="4407" ht="25" customHeight="1" spans="1:8">
      <c r="A4407" s="6">
        <v>4405</v>
      </c>
      <c r="B4407" s="7" t="str">
        <f t="shared" si="903"/>
        <v>605</v>
      </c>
      <c r="C4407" s="7" t="s">
        <v>2354</v>
      </c>
      <c r="D4407" s="7" t="s">
        <v>3433</v>
      </c>
      <c r="E4407" s="7" t="str">
        <f>"王烨"</f>
        <v>王烨</v>
      </c>
      <c r="F4407" s="7" t="str">
        <f t="shared" si="912"/>
        <v>女</v>
      </c>
      <c r="G4407" s="7" t="s">
        <v>3532</v>
      </c>
      <c r="H4407" s="8"/>
    </row>
    <row r="4408" ht="25" customHeight="1" spans="1:8">
      <c r="A4408" s="6">
        <v>4406</v>
      </c>
      <c r="B4408" s="7" t="str">
        <f t="shared" ref="B4408:B4471" si="913">"606"</f>
        <v>606</v>
      </c>
      <c r="C4408" s="7" t="s">
        <v>3533</v>
      </c>
      <c r="D4408" s="7" t="s">
        <v>3433</v>
      </c>
      <c r="E4408" s="7" t="str">
        <f>"邢贞莹"</f>
        <v>邢贞莹</v>
      </c>
      <c r="F4408" s="7" t="str">
        <f t="shared" si="912"/>
        <v>女</v>
      </c>
      <c r="G4408" s="7" t="s">
        <v>829</v>
      </c>
      <c r="H4408" s="8"/>
    </row>
    <row r="4409" ht="25" customHeight="1" spans="1:8">
      <c r="A4409" s="6">
        <v>4407</v>
      </c>
      <c r="B4409" s="7" t="str">
        <f t="shared" si="913"/>
        <v>606</v>
      </c>
      <c r="C4409" s="7" t="s">
        <v>3533</v>
      </c>
      <c r="D4409" s="7" t="s">
        <v>3433</v>
      </c>
      <c r="E4409" s="7" t="str">
        <f>"商璐"</f>
        <v>商璐</v>
      </c>
      <c r="F4409" s="7" t="str">
        <f t="shared" si="912"/>
        <v>女</v>
      </c>
      <c r="G4409" s="7" t="s">
        <v>3534</v>
      </c>
      <c r="H4409" s="8"/>
    </row>
    <row r="4410" ht="25" customHeight="1" spans="1:8">
      <c r="A4410" s="6">
        <v>4408</v>
      </c>
      <c r="B4410" s="7" t="str">
        <f t="shared" si="913"/>
        <v>606</v>
      </c>
      <c r="C4410" s="7" t="s">
        <v>3533</v>
      </c>
      <c r="D4410" s="7" t="s">
        <v>3433</v>
      </c>
      <c r="E4410" s="7" t="str">
        <f>"江桂桔"</f>
        <v>江桂桔</v>
      </c>
      <c r="F4410" s="7" t="str">
        <f t="shared" si="912"/>
        <v>女</v>
      </c>
      <c r="G4410" s="7" t="s">
        <v>3535</v>
      </c>
      <c r="H4410" s="8"/>
    </row>
    <row r="4411" ht="25" customHeight="1" spans="1:8">
      <c r="A4411" s="6">
        <v>4409</v>
      </c>
      <c r="B4411" s="7" t="str">
        <f t="shared" si="913"/>
        <v>606</v>
      </c>
      <c r="C4411" s="7" t="s">
        <v>3533</v>
      </c>
      <c r="D4411" s="7" t="s">
        <v>3433</v>
      </c>
      <c r="E4411" s="7" t="str">
        <f>"冯晓烽"</f>
        <v>冯晓烽</v>
      </c>
      <c r="F4411" s="7" t="str">
        <f>"男"</f>
        <v>男</v>
      </c>
      <c r="G4411" s="7" t="s">
        <v>3536</v>
      </c>
      <c r="H4411" s="8"/>
    </row>
    <row r="4412" ht="25" customHeight="1" spans="1:8">
      <c r="A4412" s="6">
        <v>4410</v>
      </c>
      <c r="B4412" s="7" t="str">
        <f t="shared" si="913"/>
        <v>606</v>
      </c>
      <c r="C4412" s="7" t="s">
        <v>3533</v>
      </c>
      <c r="D4412" s="7" t="s">
        <v>3433</v>
      </c>
      <c r="E4412" s="7" t="str">
        <f>"王春晓"</f>
        <v>王春晓</v>
      </c>
      <c r="F4412" s="7" t="str">
        <f t="shared" ref="F4412:F4415" si="914">"女"</f>
        <v>女</v>
      </c>
      <c r="G4412" s="7" t="s">
        <v>3537</v>
      </c>
      <c r="H4412" s="8"/>
    </row>
    <row r="4413" ht="25" customHeight="1" spans="1:8">
      <c r="A4413" s="6">
        <v>4411</v>
      </c>
      <c r="B4413" s="7" t="str">
        <f t="shared" si="913"/>
        <v>606</v>
      </c>
      <c r="C4413" s="7" t="s">
        <v>3533</v>
      </c>
      <c r="D4413" s="7" t="s">
        <v>3433</v>
      </c>
      <c r="E4413" s="7" t="str">
        <f>"高莹"</f>
        <v>高莹</v>
      </c>
      <c r="F4413" s="7" t="str">
        <f t="shared" si="914"/>
        <v>女</v>
      </c>
      <c r="G4413" s="7" t="s">
        <v>660</v>
      </c>
      <c r="H4413" s="8"/>
    </row>
    <row r="4414" ht="25" customHeight="1" spans="1:8">
      <c r="A4414" s="6">
        <v>4412</v>
      </c>
      <c r="B4414" s="7" t="str">
        <f t="shared" si="913"/>
        <v>606</v>
      </c>
      <c r="C4414" s="7" t="s">
        <v>3533</v>
      </c>
      <c r="D4414" s="7" t="s">
        <v>3433</v>
      </c>
      <c r="E4414" s="7" t="str">
        <f>"陈茜"</f>
        <v>陈茜</v>
      </c>
      <c r="F4414" s="7" t="str">
        <f t="shared" si="914"/>
        <v>女</v>
      </c>
      <c r="G4414" s="7" t="s">
        <v>699</v>
      </c>
      <c r="H4414" s="8"/>
    </row>
    <row r="4415" ht="25" customHeight="1" spans="1:8">
      <c r="A4415" s="6">
        <v>4413</v>
      </c>
      <c r="B4415" s="7" t="str">
        <f t="shared" si="913"/>
        <v>606</v>
      </c>
      <c r="C4415" s="7" t="s">
        <v>3533</v>
      </c>
      <c r="D4415" s="7" t="s">
        <v>3433</v>
      </c>
      <c r="E4415" s="7" t="str">
        <f>"林钦芳"</f>
        <v>林钦芳</v>
      </c>
      <c r="F4415" s="7" t="str">
        <f t="shared" si="914"/>
        <v>女</v>
      </c>
      <c r="G4415" s="7" t="s">
        <v>3538</v>
      </c>
      <c r="H4415" s="8"/>
    </row>
    <row r="4416" ht="25" customHeight="1" spans="1:8">
      <c r="A4416" s="6">
        <v>4414</v>
      </c>
      <c r="B4416" s="7" t="str">
        <f t="shared" si="913"/>
        <v>606</v>
      </c>
      <c r="C4416" s="7" t="s">
        <v>3533</v>
      </c>
      <c r="D4416" s="7" t="s">
        <v>3433</v>
      </c>
      <c r="E4416" s="7" t="str">
        <f>"吴承忠"</f>
        <v>吴承忠</v>
      </c>
      <c r="F4416" s="7" t="str">
        <f>"男"</f>
        <v>男</v>
      </c>
      <c r="G4416" s="7" t="s">
        <v>392</v>
      </c>
      <c r="H4416" s="8"/>
    </row>
    <row r="4417" ht="25" customHeight="1" spans="1:8">
      <c r="A4417" s="6">
        <v>4415</v>
      </c>
      <c r="B4417" s="7" t="str">
        <f t="shared" si="913"/>
        <v>606</v>
      </c>
      <c r="C4417" s="7" t="s">
        <v>3533</v>
      </c>
      <c r="D4417" s="7" t="s">
        <v>3433</v>
      </c>
      <c r="E4417" s="7" t="str">
        <f>"王小琼"</f>
        <v>王小琼</v>
      </c>
      <c r="F4417" s="7" t="str">
        <f t="shared" ref="F4417:F4428" si="915">"女"</f>
        <v>女</v>
      </c>
      <c r="G4417" s="7" t="s">
        <v>576</v>
      </c>
      <c r="H4417" s="8"/>
    </row>
    <row r="4418" ht="25" customHeight="1" spans="1:8">
      <c r="A4418" s="6">
        <v>4416</v>
      </c>
      <c r="B4418" s="7" t="str">
        <f t="shared" si="913"/>
        <v>606</v>
      </c>
      <c r="C4418" s="7" t="s">
        <v>3533</v>
      </c>
      <c r="D4418" s="7" t="s">
        <v>3433</v>
      </c>
      <c r="E4418" s="7" t="str">
        <f>"蔡才飘"</f>
        <v>蔡才飘</v>
      </c>
      <c r="F4418" s="7" t="str">
        <f t="shared" si="915"/>
        <v>女</v>
      </c>
      <c r="G4418" s="7" t="s">
        <v>3539</v>
      </c>
      <c r="H4418" s="8"/>
    </row>
    <row r="4419" ht="25" customHeight="1" spans="1:8">
      <c r="A4419" s="6">
        <v>4417</v>
      </c>
      <c r="B4419" s="7" t="str">
        <f t="shared" si="913"/>
        <v>606</v>
      </c>
      <c r="C4419" s="7" t="s">
        <v>3533</v>
      </c>
      <c r="D4419" s="7" t="s">
        <v>3433</v>
      </c>
      <c r="E4419" s="7" t="str">
        <f>"黎墨行"</f>
        <v>黎墨行</v>
      </c>
      <c r="F4419" s="7" t="str">
        <f t="shared" si="915"/>
        <v>女</v>
      </c>
      <c r="G4419" s="7" t="s">
        <v>2738</v>
      </c>
      <c r="H4419" s="8"/>
    </row>
    <row r="4420" ht="25" customHeight="1" spans="1:8">
      <c r="A4420" s="6">
        <v>4418</v>
      </c>
      <c r="B4420" s="7" t="str">
        <f t="shared" si="913"/>
        <v>606</v>
      </c>
      <c r="C4420" s="7" t="s">
        <v>3533</v>
      </c>
      <c r="D4420" s="7" t="s">
        <v>3433</v>
      </c>
      <c r="E4420" s="7" t="str">
        <f>"徐有连"</f>
        <v>徐有连</v>
      </c>
      <c r="F4420" s="7" t="str">
        <f t="shared" si="915"/>
        <v>女</v>
      </c>
      <c r="G4420" s="7" t="s">
        <v>3540</v>
      </c>
      <c r="H4420" s="8"/>
    </row>
    <row r="4421" ht="25" customHeight="1" spans="1:8">
      <c r="A4421" s="6">
        <v>4419</v>
      </c>
      <c r="B4421" s="7" t="str">
        <f t="shared" si="913"/>
        <v>606</v>
      </c>
      <c r="C4421" s="7" t="s">
        <v>3533</v>
      </c>
      <c r="D4421" s="7" t="s">
        <v>3433</v>
      </c>
      <c r="E4421" s="7" t="str">
        <f>"麦娱"</f>
        <v>麦娱</v>
      </c>
      <c r="F4421" s="7" t="str">
        <f t="shared" si="915"/>
        <v>女</v>
      </c>
      <c r="G4421" s="7" t="s">
        <v>3541</v>
      </c>
      <c r="H4421" s="8"/>
    </row>
    <row r="4422" ht="25" customHeight="1" spans="1:8">
      <c r="A4422" s="6">
        <v>4420</v>
      </c>
      <c r="B4422" s="7" t="str">
        <f t="shared" si="913"/>
        <v>606</v>
      </c>
      <c r="C4422" s="7" t="s">
        <v>3533</v>
      </c>
      <c r="D4422" s="7" t="s">
        <v>3433</v>
      </c>
      <c r="E4422" s="7" t="str">
        <f>"陈韩如"</f>
        <v>陈韩如</v>
      </c>
      <c r="F4422" s="7" t="str">
        <f t="shared" si="915"/>
        <v>女</v>
      </c>
      <c r="G4422" s="7" t="s">
        <v>3542</v>
      </c>
      <c r="H4422" s="8"/>
    </row>
    <row r="4423" ht="25" customHeight="1" spans="1:8">
      <c r="A4423" s="6">
        <v>4421</v>
      </c>
      <c r="B4423" s="7" t="str">
        <f t="shared" si="913"/>
        <v>606</v>
      </c>
      <c r="C4423" s="7" t="s">
        <v>3533</v>
      </c>
      <c r="D4423" s="7" t="s">
        <v>3433</v>
      </c>
      <c r="E4423" s="7" t="str">
        <f>"杜泽慧"</f>
        <v>杜泽慧</v>
      </c>
      <c r="F4423" s="7" t="str">
        <f t="shared" si="915"/>
        <v>女</v>
      </c>
      <c r="G4423" s="7" t="s">
        <v>898</v>
      </c>
      <c r="H4423" s="8"/>
    </row>
    <row r="4424" ht="25" customHeight="1" spans="1:8">
      <c r="A4424" s="6">
        <v>4422</v>
      </c>
      <c r="B4424" s="7" t="str">
        <f t="shared" si="913"/>
        <v>606</v>
      </c>
      <c r="C4424" s="7" t="s">
        <v>3533</v>
      </c>
      <c r="D4424" s="7" t="s">
        <v>3433</v>
      </c>
      <c r="E4424" s="7" t="str">
        <f>"林丽"</f>
        <v>林丽</v>
      </c>
      <c r="F4424" s="7" t="str">
        <f t="shared" si="915"/>
        <v>女</v>
      </c>
      <c r="G4424" s="7" t="s">
        <v>3543</v>
      </c>
      <c r="H4424" s="8"/>
    </row>
    <row r="4425" ht="25" customHeight="1" spans="1:8">
      <c r="A4425" s="6">
        <v>4423</v>
      </c>
      <c r="B4425" s="7" t="str">
        <f t="shared" si="913"/>
        <v>606</v>
      </c>
      <c r="C4425" s="7" t="s">
        <v>3533</v>
      </c>
      <c r="D4425" s="7" t="s">
        <v>3433</v>
      </c>
      <c r="E4425" s="7" t="str">
        <f>"梁婕"</f>
        <v>梁婕</v>
      </c>
      <c r="F4425" s="7" t="str">
        <f t="shared" si="915"/>
        <v>女</v>
      </c>
      <c r="G4425" s="7" t="s">
        <v>970</v>
      </c>
      <c r="H4425" s="8"/>
    </row>
    <row r="4426" ht="25" customHeight="1" spans="1:8">
      <c r="A4426" s="6">
        <v>4424</v>
      </c>
      <c r="B4426" s="7" t="str">
        <f t="shared" si="913"/>
        <v>606</v>
      </c>
      <c r="C4426" s="7" t="s">
        <v>3533</v>
      </c>
      <c r="D4426" s="7" t="s">
        <v>3433</v>
      </c>
      <c r="E4426" s="7" t="str">
        <f>"曾文锦"</f>
        <v>曾文锦</v>
      </c>
      <c r="F4426" s="7" t="str">
        <f t="shared" si="915"/>
        <v>女</v>
      </c>
      <c r="G4426" s="7" t="s">
        <v>3544</v>
      </c>
      <c r="H4426" s="8"/>
    </row>
    <row r="4427" ht="25" customHeight="1" spans="1:8">
      <c r="A4427" s="6">
        <v>4425</v>
      </c>
      <c r="B4427" s="7" t="str">
        <f t="shared" si="913"/>
        <v>606</v>
      </c>
      <c r="C4427" s="7" t="s">
        <v>3533</v>
      </c>
      <c r="D4427" s="7" t="s">
        <v>3433</v>
      </c>
      <c r="E4427" s="7" t="str">
        <f>"文亚美"</f>
        <v>文亚美</v>
      </c>
      <c r="F4427" s="7" t="str">
        <f t="shared" si="915"/>
        <v>女</v>
      </c>
      <c r="G4427" s="7" t="s">
        <v>1496</v>
      </c>
      <c r="H4427" s="8"/>
    </row>
    <row r="4428" ht="25" customHeight="1" spans="1:8">
      <c r="A4428" s="6">
        <v>4426</v>
      </c>
      <c r="B4428" s="7" t="str">
        <f t="shared" si="913"/>
        <v>606</v>
      </c>
      <c r="C4428" s="7" t="s">
        <v>3533</v>
      </c>
      <c r="D4428" s="7" t="s">
        <v>3433</v>
      </c>
      <c r="E4428" s="7" t="str">
        <f>"张以忱"</f>
        <v>张以忱</v>
      </c>
      <c r="F4428" s="7" t="str">
        <f t="shared" si="915"/>
        <v>女</v>
      </c>
      <c r="G4428" s="7" t="s">
        <v>2382</v>
      </c>
      <c r="H4428" s="8"/>
    </row>
    <row r="4429" ht="25" customHeight="1" spans="1:8">
      <c r="A4429" s="6">
        <v>4427</v>
      </c>
      <c r="B4429" s="7" t="str">
        <f t="shared" si="913"/>
        <v>606</v>
      </c>
      <c r="C4429" s="7" t="s">
        <v>3533</v>
      </c>
      <c r="D4429" s="7" t="s">
        <v>3433</v>
      </c>
      <c r="E4429" s="7" t="str">
        <f>"王锡良"</f>
        <v>王锡良</v>
      </c>
      <c r="F4429" s="7" t="str">
        <f>"男"</f>
        <v>男</v>
      </c>
      <c r="G4429" s="7" t="s">
        <v>3545</v>
      </c>
      <c r="H4429" s="8"/>
    </row>
    <row r="4430" ht="25" customHeight="1" spans="1:8">
      <c r="A4430" s="6">
        <v>4428</v>
      </c>
      <c r="B4430" s="7" t="str">
        <f t="shared" si="913"/>
        <v>606</v>
      </c>
      <c r="C4430" s="7" t="s">
        <v>3533</v>
      </c>
      <c r="D4430" s="7" t="s">
        <v>3433</v>
      </c>
      <c r="E4430" s="7" t="str">
        <f>"杜思思 "</f>
        <v>杜思思 </v>
      </c>
      <c r="F4430" s="7" t="str">
        <f t="shared" ref="F4430:F4447" si="916">"女"</f>
        <v>女</v>
      </c>
      <c r="G4430" s="7" t="s">
        <v>3546</v>
      </c>
      <c r="H4430" s="8"/>
    </row>
    <row r="4431" ht="25" customHeight="1" spans="1:8">
      <c r="A4431" s="6">
        <v>4429</v>
      </c>
      <c r="B4431" s="7" t="str">
        <f t="shared" si="913"/>
        <v>606</v>
      </c>
      <c r="C4431" s="7" t="s">
        <v>3533</v>
      </c>
      <c r="D4431" s="7" t="s">
        <v>3433</v>
      </c>
      <c r="E4431" s="7" t="str">
        <f>"蒲英尾"</f>
        <v>蒲英尾</v>
      </c>
      <c r="F4431" s="7" t="str">
        <f t="shared" si="916"/>
        <v>女</v>
      </c>
      <c r="G4431" s="7" t="s">
        <v>3547</v>
      </c>
      <c r="H4431" s="8"/>
    </row>
    <row r="4432" ht="25" customHeight="1" spans="1:8">
      <c r="A4432" s="6">
        <v>4430</v>
      </c>
      <c r="B4432" s="7" t="str">
        <f t="shared" si="913"/>
        <v>606</v>
      </c>
      <c r="C4432" s="7" t="s">
        <v>3533</v>
      </c>
      <c r="D4432" s="7" t="s">
        <v>3433</v>
      </c>
      <c r="E4432" s="7" t="str">
        <f>"陈举铭"</f>
        <v>陈举铭</v>
      </c>
      <c r="F4432" s="7" t="str">
        <f>"男"</f>
        <v>男</v>
      </c>
      <c r="G4432" s="7" t="s">
        <v>3548</v>
      </c>
      <c r="H4432" s="8"/>
    </row>
    <row r="4433" ht="25" customHeight="1" spans="1:8">
      <c r="A4433" s="6">
        <v>4431</v>
      </c>
      <c r="B4433" s="7" t="str">
        <f t="shared" si="913"/>
        <v>606</v>
      </c>
      <c r="C4433" s="7" t="s">
        <v>3533</v>
      </c>
      <c r="D4433" s="7" t="s">
        <v>3433</v>
      </c>
      <c r="E4433" s="7" t="str">
        <f>"邢福珍"</f>
        <v>邢福珍</v>
      </c>
      <c r="F4433" s="7" t="str">
        <f t="shared" si="916"/>
        <v>女</v>
      </c>
      <c r="G4433" s="7" t="s">
        <v>3549</v>
      </c>
      <c r="H4433" s="8"/>
    </row>
    <row r="4434" ht="25" customHeight="1" spans="1:8">
      <c r="A4434" s="6">
        <v>4432</v>
      </c>
      <c r="B4434" s="7" t="str">
        <f t="shared" si="913"/>
        <v>606</v>
      </c>
      <c r="C4434" s="7" t="s">
        <v>3533</v>
      </c>
      <c r="D4434" s="7" t="s">
        <v>3433</v>
      </c>
      <c r="E4434" s="7" t="str">
        <f>"何彩芳"</f>
        <v>何彩芳</v>
      </c>
      <c r="F4434" s="7" t="str">
        <f t="shared" si="916"/>
        <v>女</v>
      </c>
      <c r="G4434" s="7" t="s">
        <v>3550</v>
      </c>
      <c r="H4434" s="8"/>
    </row>
    <row r="4435" ht="25" customHeight="1" spans="1:8">
      <c r="A4435" s="6">
        <v>4433</v>
      </c>
      <c r="B4435" s="7" t="str">
        <f t="shared" si="913"/>
        <v>606</v>
      </c>
      <c r="C4435" s="7" t="s">
        <v>3533</v>
      </c>
      <c r="D4435" s="7" t="s">
        <v>3433</v>
      </c>
      <c r="E4435" s="7" t="str">
        <f>"朱奕烹"</f>
        <v>朱奕烹</v>
      </c>
      <c r="F4435" s="7" t="str">
        <f t="shared" si="916"/>
        <v>女</v>
      </c>
      <c r="G4435" s="7" t="s">
        <v>3551</v>
      </c>
      <c r="H4435" s="8"/>
    </row>
    <row r="4436" ht="25" customHeight="1" spans="1:8">
      <c r="A4436" s="6">
        <v>4434</v>
      </c>
      <c r="B4436" s="7" t="str">
        <f t="shared" si="913"/>
        <v>606</v>
      </c>
      <c r="C4436" s="7" t="s">
        <v>3533</v>
      </c>
      <c r="D4436" s="7" t="s">
        <v>3433</v>
      </c>
      <c r="E4436" s="7" t="str">
        <f>"符佳梅"</f>
        <v>符佳梅</v>
      </c>
      <c r="F4436" s="7" t="str">
        <f t="shared" si="916"/>
        <v>女</v>
      </c>
      <c r="G4436" s="7" t="s">
        <v>3359</v>
      </c>
      <c r="H4436" s="8"/>
    </row>
    <row r="4437" ht="25" customHeight="1" spans="1:8">
      <c r="A4437" s="6">
        <v>4435</v>
      </c>
      <c r="B4437" s="7" t="str">
        <f t="shared" si="913"/>
        <v>606</v>
      </c>
      <c r="C4437" s="7" t="s">
        <v>3533</v>
      </c>
      <c r="D4437" s="7" t="s">
        <v>3433</v>
      </c>
      <c r="E4437" s="7" t="str">
        <f>"符国玉"</f>
        <v>符国玉</v>
      </c>
      <c r="F4437" s="7" t="str">
        <f t="shared" si="916"/>
        <v>女</v>
      </c>
      <c r="G4437" s="7" t="s">
        <v>3194</v>
      </c>
      <c r="H4437" s="8"/>
    </row>
    <row r="4438" ht="25" customHeight="1" spans="1:8">
      <c r="A4438" s="6">
        <v>4436</v>
      </c>
      <c r="B4438" s="7" t="str">
        <f t="shared" si="913"/>
        <v>606</v>
      </c>
      <c r="C4438" s="7" t="s">
        <v>3533</v>
      </c>
      <c r="D4438" s="7" t="s">
        <v>3433</v>
      </c>
      <c r="E4438" s="7" t="str">
        <f>"吴小燕"</f>
        <v>吴小燕</v>
      </c>
      <c r="F4438" s="7" t="str">
        <f t="shared" si="916"/>
        <v>女</v>
      </c>
      <c r="G4438" s="7" t="s">
        <v>3552</v>
      </c>
      <c r="H4438" s="8"/>
    </row>
    <row r="4439" ht="25" customHeight="1" spans="1:8">
      <c r="A4439" s="6">
        <v>4437</v>
      </c>
      <c r="B4439" s="7" t="str">
        <f t="shared" si="913"/>
        <v>606</v>
      </c>
      <c r="C4439" s="7" t="s">
        <v>3533</v>
      </c>
      <c r="D4439" s="7" t="s">
        <v>3433</v>
      </c>
      <c r="E4439" s="7" t="str">
        <f>"范东永"</f>
        <v>范东永</v>
      </c>
      <c r="F4439" s="7" t="str">
        <f t="shared" si="916"/>
        <v>女</v>
      </c>
      <c r="G4439" s="7" t="s">
        <v>3553</v>
      </c>
      <c r="H4439" s="8"/>
    </row>
    <row r="4440" ht="25" customHeight="1" spans="1:8">
      <c r="A4440" s="6">
        <v>4438</v>
      </c>
      <c r="B4440" s="7" t="str">
        <f t="shared" si="913"/>
        <v>606</v>
      </c>
      <c r="C4440" s="7" t="s">
        <v>3533</v>
      </c>
      <c r="D4440" s="7" t="s">
        <v>3433</v>
      </c>
      <c r="E4440" s="7" t="str">
        <f>"王振霞"</f>
        <v>王振霞</v>
      </c>
      <c r="F4440" s="7" t="str">
        <f t="shared" si="916"/>
        <v>女</v>
      </c>
      <c r="G4440" s="7" t="s">
        <v>114</v>
      </c>
      <c r="H4440" s="8"/>
    </row>
    <row r="4441" ht="25" customHeight="1" spans="1:8">
      <c r="A4441" s="6">
        <v>4439</v>
      </c>
      <c r="B4441" s="7" t="str">
        <f t="shared" si="913"/>
        <v>606</v>
      </c>
      <c r="C4441" s="7" t="s">
        <v>3533</v>
      </c>
      <c r="D4441" s="7" t="s">
        <v>3433</v>
      </c>
      <c r="E4441" s="7" t="str">
        <f>"丁乐于"</f>
        <v>丁乐于</v>
      </c>
      <c r="F4441" s="7" t="str">
        <f t="shared" si="916"/>
        <v>女</v>
      </c>
      <c r="G4441" s="7" t="s">
        <v>375</v>
      </c>
      <c r="H4441" s="8"/>
    </row>
    <row r="4442" ht="25" customHeight="1" spans="1:8">
      <c r="A4442" s="6">
        <v>4440</v>
      </c>
      <c r="B4442" s="7" t="str">
        <f t="shared" si="913"/>
        <v>606</v>
      </c>
      <c r="C4442" s="7" t="s">
        <v>3533</v>
      </c>
      <c r="D4442" s="7" t="s">
        <v>3433</v>
      </c>
      <c r="E4442" s="7" t="str">
        <f>"何秋雨"</f>
        <v>何秋雨</v>
      </c>
      <c r="F4442" s="7" t="str">
        <f t="shared" si="916"/>
        <v>女</v>
      </c>
      <c r="G4442" s="7" t="s">
        <v>1459</v>
      </c>
      <c r="H4442" s="8"/>
    </row>
    <row r="4443" ht="25" customHeight="1" spans="1:8">
      <c r="A4443" s="6">
        <v>4441</v>
      </c>
      <c r="B4443" s="7" t="str">
        <f t="shared" si="913"/>
        <v>606</v>
      </c>
      <c r="C4443" s="7" t="s">
        <v>3533</v>
      </c>
      <c r="D4443" s="7" t="s">
        <v>3433</v>
      </c>
      <c r="E4443" s="7" t="str">
        <f>"罗蓓"</f>
        <v>罗蓓</v>
      </c>
      <c r="F4443" s="7" t="str">
        <f t="shared" si="916"/>
        <v>女</v>
      </c>
      <c r="G4443" s="7" t="s">
        <v>2629</v>
      </c>
      <c r="H4443" s="8"/>
    </row>
    <row r="4444" ht="25" customHeight="1" spans="1:8">
      <c r="A4444" s="6">
        <v>4442</v>
      </c>
      <c r="B4444" s="7" t="str">
        <f t="shared" si="913"/>
        <v>606</v>
      </c>
      <c r="C4444" s="7" t="s">
        <v>3533</v>
      </c>
      <c r="D4444" s="7" t="s">
        <v>3433</v>
      </c>
      <c r="E4444" s="7" t="str">
        <f>"吴丽玲"</f>
        <v>吴丽玲</v>
      </c>
      <c r="F4444" s="7" t="str">
        <f t="shared" si="916"/>
        <v>女</v>
      </c>
      <c r="G4444" s="7" t="s">
        <v>3554</v>
      </c>
      <c r="H4444" s="8"/>
    </row>
    <row r="4445" ht="25" customHeight="1" spans="1:8">
      <c r="A4445" s="6">
        <v>4443</v>
      </c>
      <c r="B4445" s="7" t="str">
        <f t="shared" si="913"/>
        <v>606</v>
      </c>
      <c r="C4445" s="7" t="s">
        <v>3533</v>
      </c>
      <c r="D4445" s="7" t="s">
        <v>3433</v>
      </c>
      <c r="E4445" s="7" t="str">
        <f>"赵玉丹"</f>
        <v>赵玉丹</v>
      </c>
      <c r="F4445" s="7" t="str">
        <f t="shared" si="916"/>
        <v>女</v>
      </c>
      <c r="G4445" s="7" t="s">
        <v>3555</v>
      </c>
      <c r="H4445" s="8"/>
    </row>
    <row r="4446" ht="25" customHeight="1" spans="1:8">
      <c r="A4446" s="6">
        <v>4444</v>
      </c>
      <c r="B4446" s="7" t="str">
        <f t="shared" si="913"/>
        <v>606</v>
      </c>
      <c r="C4446" s="7" t="s">
        <v>3533</v>
      </c>
      <c r="D4446" s="7" t="s">
        <v>3433</v>
      </c>
      <c r="E4446" s="7" t="str">
        <f>"符发和"</f>
        <v>符发和</v>
      </c>
      <c r="F4446" s="7" t="str">
        <f t="shared" si="916"/>
        <v>女</v>
      </c>
      <c r="G4446" s="7" t="s">
        <v>3556</v>
      </c>
      <c r="H4446" s="8"/>
    </row>
    <row r="4447" ht="25" customHeight="1" spans="1:8">
      <c r="A4447" s="6">
        <v>4445</v>
      </c>
      <c r="B4447" s="7" t="str">
        <f t="shared" si="913"/>
        <v>606</v>
      </c>
      <c r="C4447" s="7" t="s">
        <v>3533</v>
      </c>
      <c r="D4447" s="7" t="s">
        <v>3433</v>
      </c>
      <c r="E4447" s="7" t="str">
        <f>"羊昆妮"</f>
        <v>羊昆妮</v>
      </c>
      <c r="F4447" s="7" t="str">
        <f t="shared" si="916"/>
        <v>女</v>
      </c>
      <c r="G4447" s="7" t="s">
        <v>586</v>
      </c>
      <c r="H4447" s="8"/>
    </row>
    <row r="4448" ht="25" customHeight="1" spans="1:8">
      <c r="A4448" s="6">
        <v>4446</v>
      </c>
      <c r="B4448" s="7" t="str">
        <f t="shared" si="913"/>
        <v>606</v>
      </c>
      <c r="C4448" s="7" t="s">
        <v>3533</v>
      </c>
      <c r="D4448" s="7" t="s">
        <v>3433</v>
      </c>
      <c r="E4448" s="7" t="str">
        <f>"陆克煌"</f>
        <v>陆克煌</v>
      </c>
      <c r="F4448" s="7" t="str">
        <f>"男"</f>
        <v>男</v>
      </c>
      <c r="G4448" s="7" t="s">
        <v>3557</v>
      </c>
      <c r="H4448" s="8"/>
    </row>
    <row r="4449" ht="25" customHeight="1" spans="1:8">
      <c r="A4449" s="6">
        <v>4447</v>
      </c>
      <c r="B4449" s="7" t="str">
        <f t="shared" si="913"/>
        <v>606</v>
      </c>
      <c r="C4449" s="7" t="s">
        <v>3533</v>
      </c>
      <c r="D4449" s="7" t="s">
        <v>3433</v>
      </c>
      <c r="E4449" s="7" t="str">
        <f>"符有蓉"</f>
        <v>符有蓉</v>
      </c>
      <c r="F4449" s="7" t="str">
        <f t="shared" ref="F4449:F4454" si="917">"女"</f>
        <v>女</v>
      </c>
      <c r="G4449" s="7" t="s">
        <v>3558</v>
      </c>
      <c r="H4449" s="8"/>
    </row>
    <row r="4450" ht="25" customHeight="1" spans="1:8">
      <c r="A4450" s="6">
        <v>4448</v>
      </c>
      <c r="B4450" s="7" t="str">
        <f t="shared" si="913"/>
        <v>606</v>
      </c>
      <c r="C4450" s="7" t="s">
        <v>3533</v>
      </c>
      <c r="D4450" s="7" t="s">
        <v>3433</v>
      </c>
      <c r="E4450" s="7" t="str">
        <f>"陈贻霖"</f>
        <v>陈贻霖</v>
      </c>
      <c r="F4450" s="7" t="str">
        <f>"男"</f>
        <v>男</v>
      </c>
      <c r="G4450" s="7" t="s">
        <v>3559</v>
      </c>
      <c r="H4450" s="8"/>
    </row>
    <row r="4451" ht="25" customHeight="1" spans="1:8">
      <c r="A4451" s="6">
        <v>4449</v>
      </c>
      <c r="B4451" s="7" t="str">
        <f t="shared" si="913"/>
        <v>606</v>
      </c>
      <c r="C4451" s="7" t="s">
        <v>3533</v>
      </c>
      <c r="D4451" s="7" t="s">
        <v>3433</v>
      </c>
      <c r="E4451" s="7" t="str">
        <f>"符冰冰"</f>
        <v>符冰冰</v>
      </c>
      <c r="F4451" s="7" t="str">
        <f t="shared" si="917"/>
        <v>女</v>
      </c>
      <c r="G4451" s="7" t="s">
        <v>3560</v>
      </c>
      <c r="H4451" s="8"/>
    </row>
    <row r="4452" ht="25" customHeight="1" spans="1:8">
      <c r="A4452" s="6">
        <v>4450</v>
      </c>
      <c r="B4452" s="7" t="str">
        <f t="shared" si="913"/>
        <v>606</v>
      </c>
      <c r="C4452" s="7" t="s">
        <v>3533</v>
      </c>
      <c r="D4452" s="7" t="s">
        <v>3433</v>
      </c>
      <c r="E4452" s="7" t="str">
        <f>"陈艳"</f>
        <v>陈艳</v>
      </c>
      <c r="F4452" s="7" t="str">
        <f t="shared" si="917"/>
        <v>女</v>
      </c>
      <c r="G4452" s="7" t="s">
        <v>3561</v>
      </c>
      <c r="H4452" s="8"/>
    </row>
    <row r="4453" ht="25" customHeight="1" spans="1:8">
      <c r="A4453" s="6">
        <v>4451</v>
      </c>
      <c r="B4453" s="7" t="str">
        <f t="shared" si="913"/>
        <v>606</v>
      </c>
      <c r="C4453" s="7" t="s">
        <v>3533</v>
      </c>
      <c r="D4453" s="7" t="s">
        <v>3433</v>
      </c>
      <c r="E4453" s="7" t="str">
        <f>"陈太婷"</f>
        <v>陈太婷</v>
      </c>
      <c r="F4453" s="7" t="str">
        <f t="shared" si="917"/>
        <v>女</v>
      </c>
      <c r="G4453" s="7" t="s">
        <v>3562</v>
      </c>
      <c r="H4453" s="8"/>
    </row>
    <row r="4454" ht="25" customHeight="1" spans="1:8">
      <c r="A4454" s="6">
        <v>4452</v>
      </c>
      <c r="B4454" s="7" t="str">
        <f t="shared" si="913"/>
        <v>606</v>
      </c>
      <c r="C4454" s="7" t="s">
        <v>3533</v>
      </c>
      <c r="D4454" s="7" t="s">
        <v>3433</v>
      </c>
      <c r="E4454" s="7" t="str">
        <f>"海雪"</f>
        <v>海雪</v>
      </c>
      <c r="F4454" s="7" t="str">
        <f t="shared" si="917"/>
        <v>女</v>
      </c>
      <c r="G4454" s="7" t="s">
        <v>3563</v>
      </c>
      <c r="H4454" s="8"/>
    </row>
    <row r="4455" ht="25" customHeight="1" spans="1:8">
      <c r="A4455" s="6">
        <v>4453</v>
      </c>
      <c r="B4455" s="7" t="str">
        <f t="shared" si="913"/>
        <v>606</v>
      </c>
      <c r="C4455" s="7" t="s">
        <v>3533</v>
      </c>
      <c r="D4455" s="7" t="s">
        <v>3433</v>
      </c>
      <c r="E4455" s="7" t="str">
        <f>"钟学帆"</f>
        <v>钟学帆</v>
      </c>
      <c r="F4455" s="7" t="str">
        <f>"男"</f>
        <v>男</v>
      </c>
      <c r="G4455" s="7" t="s">
        <v>3564</v>
      </c>
      <c r="H4455" s="8"/>
    </row>
    <row r="4456" ht="25" customHeight="1" spans="1:8">
      <c r="A4456" s="6">
        <v>4454</v>
      </c>
      <c r="B4456" s="7" t="str">
        <f t="shared" si="913"/>
        <v>606</v>
      </c>
      <c r="C4456" s="7" t="s">
        <v>3533</v>
      </c>
      <c r="D4456" s="7" t="s">
        <v>3433</v>
      </c>
      <c r="E4456" s="7" t="str">
        <f>"王澜洁"</f>
        <v>王澜洁</v>
      </c>
      <c r="F4456" s="7" t="str">
        <f t="shared" ref="F4456:F4468" si="918">"女"</f>
        <v>女</v>
      </c>
      <c r="G4456" s="7" t="s">
        <v>3503</v>
      </c>
      <c r="H4456" s="8"/>
    </row>
    <row r="4457" ht="25" customHeight="1" spans="1:8">
      <c r="A4457" s="6">
        <v>4455</v>
      </c>
      <c r="B4457" s="7" t="str">
        <f t="shared" si="913"/>
        <v>606</v>
      </c>
      <c r="C4457" s="7" t="s">
        <v>3533</v>
      </c>
      <c r="D4457" s="7" t="s">
        <v>3433</v>
      </c>
      <c r="E4457" s="7" t="str">
        <f>"梁媚"</f>
        <v>梁媚</v>
      </c>
      <c r="F4457" s="7" t="str">
        <f t="shared" si="918"/>
        <v>女</v>
      </c>
      <c r="G4457" s="7" t="s">
        <v>3565</v>
      </c>
      <c r="H4457" s="8"/>
    </row>
    <row r="4458" ht="25" customHeight="1" spans="1:8">
      <c r="A4458" s="6">
        <v>4456</v>
      </c>
      <c r="B4458" s="7" t="str">
        <f t="shared" si="913"/>
        <v>606</v>
      </c>
      <c r="C4458" s="7" t="s">
        <v>3533</v>
      </c>
      <c r="D4458" s="7" t="s">
        <v>3433</v>
      </c>
      <c r="E4458" s="7" t="str">
        <f>"陈运琨"</f>
        <v>陈运琨</v>
      </c>
      <c r="F4458" s="7" t="str">
        <f t="shared" si="918"/>
        <v>女</v>
      </c>
      <c r="G4458" s="7" t="s">
        <v>970</v>
      </c>
      <c r="H4458" s="8"/>
    </row>
    <row r="4459" ht="25" customHeight="1" spans="1:8">
      <c r="A4459" s="6">
        <v>4457</v>
      </c>
      <c r="B4459" s="7" t="str">
        <f t="shared" si="913"/>
        <v>606</v>
      </c>
      <c r="C4459" s="7" t="s">
        <v>3533</v>
      </c>
      <c r="D4459" s="7" t="s">
        <v>3433</v>
      </c>
      <c r="E4459" s="7" t="str">
        <f>"许露娜"</f>
        <v>许露娜</v>
      </c>
      <c r="F4459" s="7" t="str">
        <f t="shared" si="918"/>
        <v>女</v>
      </c>
      <c r="G4459" s="7" t="s">
        <v>3566</v>
      </c>
      <c r="H4459" s="8"/>
    </row>
    <row r="4460" ht="25" customHeight="1" spans="1:8">
      <c r="A4460" s="6">
        <v>4458</v>
      </c>
      <c r="B4460" s="7" t="str">
        <f t="shared" si="913"/>
        <v>606</v>
      </c>
      <c r="C4460" s="7" t="s">
        <v>3533</v>
      </c>
      <c r="D4460" s="7" t="s">
        <v>3433</v>
      </c>
      <c r="E4460" s="7" t="str">
        <f>"林冰芳"</f>
        <v>林冰芳</v>
      </c>
      <c r="F4460" s="7" t="str">
        <f t="shared" si="918"/>
        <v>女</v>
      </c>
      <c r="G4460" s="7" t="s">
        <v>3567</v>
      </c>
      <c r="H4460" s="8"/>
    </row>
    <row r="4461" ht="25" customHeight="1" spans="1:8">
      <c r="A4461" s="6">
        <v>4459</v>
      </c>
      <c r="B4461" s="7" t="str">
        <f t="shared" si="913"/>
        <v>606</v>
      </c>
      <c r="C4461" s="7" t="s">
        <v>3533</v>
      </c>
      <c r="D4461" s="7" t="s">
        <v>3433</v>
      </c>
      <c r="E4461" s="7" t="str">
        <f>"肖羽倩"</f>
        <v>肖羽倩</v>
      </c>
      <c r="F4461" s="7" t="str">
        <f t="shared" si="918"/>
        <v>女</v>
      </c>
      <c r="G4461" s="7" t="s">
        <v>3568</v>
      </c>
      <c r="H4461" s="8"/>
    </row>
    <row r="4462" ht="25" customHeight="1" spans="1:8">
      <c r="A4462" s="6">
        <v>4460</v>
      </c>
      <c r="B4462" s="7" t="str">
        <f t="shared" si="913"/>
        <v>606</v>
      </c>
      <c r="C4462" s="7" t="s">
        <v>3533</v>
      </c>
      <c r="D4462" s="7" t="s">
        <v>3433</v>
      </c>
      <c r="E4462" s="7" t="str">
        <f>"洪水兰"</f>
        <v>洪水兰</v>
      </c>
      <c r="F4462" s="7" t="str">
        <f t="shared" si="918"/>
        <v>女</v>
      </c>
      <c r="G4462" s="7" t="s">
        <v>3569</v>
      </c>
      <c r="H4462" s="8"/>
    </row>
    <row r="4463" ht="25" customHeight="1" spans="1:8">
      <c r="A4463" s="6">
        <v>4461</v>
      </c>
      <c r="B4463" s="7" t="str">
        <f t="shared" si="913"/>
        <v>606</v>
      </c>
      <c r="C4463" s="7" t="s">
        <v>3533</v>
      </c>
      <c r="D4463" s="7" t="s">
        <v>3433</v>
      </c>
      <c r="E4463" s="7" t="str">
        <f>"廉杰"</f>
        <v>廉杰</v>
      </c>
      <c r="F4463" s="7" t="str">
        <f t="shared" si="918"/>
        <v>女</v>
      </c>
      <c r="G4463" s="7" t="s">
        <v>3570</v>
      </c>
      <c r="H4463" s="8"/>
    </row>
    <row r="4464" ht="25" customHeight="1" spans="1:8">
      <c r="A4464" s="6">
        <v>4462</v>
      </c>
      <c r="B4464" s="7" t="str">
        <f t="shared" si="913"/>
        <v>606</v>
      </c>
      <c r="C4464" s="7" t="s">
        <v>3533</v>
      </c>
      <c r="D4464" s="7" t="s">
        <v>3433</v>
      </c>
      <c r="E4464" s="7" t="str">
        <f>"蓝月香"</f>
        <v>蓝月香</v>
      </c>
      <c r="F4464" s="7" t="str">
        <f t="shared" si="918"/>
        <v>女</v>
      </c>
      <c r="G4464" s="7" t="s">
        <v>1076</v>
      </c>
      <c r="H4464" s="8"/>
    </row>
    <row r="4465" ht="25" customHeight="1" spans="1:8">
      <c r="A4465" s="6">
        <v>4463</v>
      </c>
      <c r="B4465" s="7" t="str">
        <f t="shared" si="913"/>
        <v>606</v>
      </c>
      <c r="C4465" s="7" t="s">
        <v>3533</v>
      </c>
      <c r="D4465" s="7" t="s">
        <v>3433</v>
      </c>
      <c r="E4465" s="7" t="str">
        <f>"薛慧芳"</f>
        <v>薛慧芳</v>
      </c>
      <c r="F4465" s="7" t="str">
        <f t="shared" si="918"/>
        <v>女</v>
      </c>
      <c r="G4465" s="7" t="s">
        <v>3571</v>
      </c>
      <c r="H4465" s="8"/>
    </row>
    <row r="4466" ht="25" customHeight="1" spans="1:8">
      <c r="A4466" s="6">
        <v>4464</v>
      </c>
      <c r="B4466" s="7" t="str">
        <f t="shared" si="913"/>
        <v>606</v>
      </c>
      <c r="C4466" s="7" t="s">
        <v>3533</v>
      </c>
      <c r="D4466" s="7" t="s">
        <v>3433</v>
      </c>
      <c r="E4466" s="7" t="str">
        <f>"林佳佳"</f>
        <v>林佳佳</v>
      </c>
      <c r="F4466" s="7" t="str">
        <f t="shared" si="918"/>
        <v>女</v>
      </c>
      <c r="G4466" s="7" t="s">
        <v>2260</v>
      </c>
      <c r="H4466" s="8"/>
    </row>
    <row r="4467" ht="25" customHeight="1" spans="1:8">
      <c r="A4467" s="6">
        <v>4465</v>
      </c>
      <c r="B4467" s="7" t="str">
        <f t="shared" si="913"/>
        <v>606</v>
      </c>
      <c r="C4467" s="7" t="s">
        <v>3533</v>
      </c>
      <c r="D4467" s="7" t="s">
        <v>3433</v>
      </c>
      <c r="E4467" s="7" t="str">
        <f>"张子珍"</f>
        <v>张子珍</v>
      </c>
      <c r="F4467" s="7" t="str">
        <f t="shared" si="918"/>
        <v>女</v>
      </c>
      <c r="G4467" s="7" t="s">
        <v>1379</v>
      </c>
      <c r="H4467" s="8"/>
    </row>
    <row r="4468" ht="25" customHeight="1" spans="1:8">
      <c r="A4468" s="6">
        <v>4466</v>
      </c>
      <c r="B4468" s="7" t="str">
        <f t="shared" si="913"/>
        <v>606</v>
      </c>
      <c r="C4468" s="7" t="s">
        <v>3533</v>
      </c>
      <c r="D4468" s="7" t="s">
        <v>3433</v>
      </c>
      <c r="E4468" s="7" t="str">
        <f>"吴芳婕"</f>
        <v>吴芳婕</v>
      </c>
      <c r="F4468" s="7" t="str">
        <f t="shared" si="918"/>
        <v>女</v>
      </c>
      <c r="G4468" s="7" t="s">
        <v>3572</v>
      </c>
      <c r="H4468" s="8"/>
    </row>
    <row r="4469" ht="25" customHeight="1" spans="1:8">
      <c r="A4469" s="6">
        <v>4467</v>
      </c>
      <c r="B4469" s="7" t="str">
        <f t="shared" si="913"/>
        <v>606</v>
      </c>
      <c r="C4469" s="7" t="s">
        <v>3533</v>
      </c>
      <c r="D4469" s="7" t="s">
        <v>3433</v>
      </c>
      <c r="E4469" s="7" t="str">
        <f>"吴高标"</f>
        <v>吴高标</v>
      </c>
      <c r="F4469" s="7" t="str">
        <f>"男"</f>
        <v>男</v>
      </c>
      <c r="G4469" s="7" t="s">
        <v>3573</v>
      </c>
      <c r="H4469" s="8"/>
    </row>
    <row r="4470" ht="25" customHeight="1" spans="1:8">
      <c r="A4470" s="6">
        <v>4468</v>
      </c>
      <c r="B4470" s="7" t="str">
        <f t="shared" si="913"/>
        <v>606</v>
      </c>
      <c r="C4470" s="7" t="s">
        <v>3533</v>
      </c>
      <c r="D4470" s="7" t="s">
        <v>3433</v>
      </c>
      <c r="E4470" s="7" t="str">
        <f>"吴莉珠"</f>
        <v>吴莉珠</v>
      </c>
      <c r="F4470" s="7" t="str">
        <f t="shared" ref="F4470:F4474" si="919">"女"</f>
        <v>女</v>
      </c>
      <c r="G4470" s="7" t="s">
        <v>3574</v>
      </c>
      <c r="H4470" s="8"/>
    </row>
    <row r="4471" ht="25" customHeight="1" spans="1:8">
      <c r="A4471" s="6">
        <v>4469</v>
      </c>
      <c r="B4471" s="7" t="str">
        <f t="shared" si="913"/>
        <v>606</v>
      </c>
      <c r="C4471" s="7" t="s">
        <v>3533</v>
      </c>
      <c r="D4471" s="7" t="s">
        <v>3433</v>
      </c>
      <c r="E4471" s="7" t="str">
        <f>"包莹莹"</f>
        <v>包莹莹</v>
      </c>
      <c r="F4471" s="7" t="str">
        <f t="shared" si="919"/>
        <v>女</v>
      </c>
      <c r="G4471" s="7" t="s">
        <v>2613</v>
      </c>
      <c r="H4471" s="8"/>
    </row>
    <row r="4472" ht="25" customHeight="1" spans="1:8">
      <c r="A4472" s="6">
        <v>4470</v>
      </c>
      <c r="B4472" s="7" t="str">
        <f t="shared" ref="B4472:B4527" si="920">"606"</f>
        <v>606</v>
      </c>
      <c r="C4472" s="7" t="s">
        <v>3533</v>
      </c>
      <c r="D4472" s="7" t="s">
        <v>3433</v>
      </c>
      <c r="E4472" s="7" t="str">
        <f>"许丽雅"</f>
        <v>许丽雅</v>
      </c>
      <c r="F4472" s="7" t="str">
        <f t="shared" si="919"/>
        <v>女</v>
      </c>
      <c r="G4472" s="7" t="s">
        <v>2532</v>
      </c>
      <c r="H4472" s="8"/>
    </row>
    <row r="4473" ht="25" customHeight="1" spans="1:8">
      <c r="A4473" s="6">
        <v>4471</v>
      </c>
      <c r="B4473" s="7" t="str">
        <f t="shared" si="920"/>
        <v>606</v>
      </c>
      <c r="C4473" s="7" t="s">
        <v>3533</v>
      </c>
      <c r="D4473" s="7" t="s">
        <v>3433</v>
      </c>
      <c r="E4473" s="7" t="str">
        <f>"杜小曼"</f>
        <v>杜小曼</v>
      </c>
      <c r="F4473" s="7" t="str">
        <f t="shared" si="919"/>
        <v>女</v>
      </c>
      <c r="G4473" s="7" t="s">
        <v>3575</v>
      </c>
      <c r="H4473" s="8"/>
    </row>
    <row r="4474" ht="25" customHeight="1" spans="1:8">
      <c r="A4474" s="6">
        <v>4472</v>
      </c>
      <c r="B4474" s="7" t="str">
        <f t="shared" si="920"/>
        <v>606</v>
      </c>
      <c r="C4474" s="7" t="s">
        <v>3533</v>
      </c>
      <c r="D4474" s="7" t="s">
        <v>3433</v>
      </c>
      <c r="E4474" s="7" t="str">
        <f>"唐东颖"</f>
        <v>唐东颖</v>
      </c>
      <c r="F4474" s="7" t="str">
        <f t="shared" si="919"/>
        <v>女</v>
      </c>
      <c r="G4474" s="7" t="s">
        <v>798</v>
      </c>
      <c r="H4474" s="8"/>
    </row>
    <row r="4475" ht="25" customHeight="1" spans="1:8">
      <c r="A4475" s="6">
        <v>4473</v>
      </c>
      <c r="B4475" s="7" t="str">
        <f t="shared" si="920"/>
        <v>606</v>
      </c>
      <c r="C4475" s="7" t="s">
        <v>3533</v>
      </c>
      <c r="D4475" s="7" t="s">
        <v>3433</v>
      </c>
      <c r="E4475" s="7" t="str">
        <f>"李泽章"</f>
        <v>李泽章</v>
      </c>
      <c r="F4475" s="7" t="str">
        <f>"男"</f>
        <v>男</v>
      </c>
      <c r="G4475" s="7" t="s">
        <v>2211</v>
      </c>
      <c r="H4475" s="8"/>
    </row>
    <row r="4476" ht="25" customHeight="1" spans="1:8">
      <c r="A4476" s="6">
        <v>4474</v>
      </c>
      <c r="B4476" s="7" t="str">
        <f t="shared" si="920"/>
        <v>606</v>
      </c>
      <c r="C4476" s="7" t="s">
        <v>3533</v>
      </c>
      <c r="D4476" s="7" t="s">
        <v>3433</v>
      </c>
      <c r="E4476" s="7" t="str">
        <f>"丑梦诗"</f>
        <v>丑梦诗</v>
      </c>
      <c r="F4476" s="7" t="str">
        <f t="shared" ref="F4476:F4496" si="921">"女"</f>
        <v>女</v>
      </c>
      <c r="G4476" s="7" t="s">
        <v>3576</v>
      </c>
      <c r="H4476" s="8"/>
    </row>
    <row r="4477" ht="25" customHeight="1" spans="1:8">
      <c r="A4477" s="6">
        <v>4475</v>
      </c>
      <c r="B4477" s="7" t="str">
        <f t="shared" si="920"/>
        <v>606</v>
      </c>
      <c r="C4477" s="7" t="s">
        <v>3533</v>
      </c>
      <c r="D4477" s="7" t="s">
        <v>3433</v>
      </c>
      <c r="E4477" s="7" t="str">
        <f>"陈石蕾"</f>
        <v>陈石蕾</v>
      </c>
      <c r="F4477" s="7" t="str">
        <f t="shared" si="921"/>
        <v>女</v>
      </c>
      <c r="G4477" s="7" t="s">
        <v>3577</v>
      </c>
      <c r="H4477" s="8"/>
    </row>
    <row r="4478" ht="25" customHeight="1" spans="1:8">
      <c r="A4478" s="6">
        <v>4476</v>
      </c>
      <c r="B4478" s="7" t="str">
        <f t="shared" si="920"/>
        <v>606</v>
      </c>
      <c r="C4478" s="7" t="s">
        <v>3533</v>
      </c>
      <c r="D4478" s="7" t="s">
        <v>3433</v>
      </c>
      <c r="E4478" s="7" t="str">
        <f>"吴家月"</f>
        <v>吴家月</v>
      </c>
      <c r="F4478" s="7" t="str">
        <f t="shared" si="921"/>
        <v>女</v>
      </c>
      <c r="G4478" s="7" t="s">
        <v>3578</v>
      </c>
      <c r="H4478" s="8"/>
    </row>
    <row r="4479" ht="25" customHeight="1" spans="1:8">
      <c r="A4479" s="6">
        <v>4477</v>
      </c>
      <c r="B4479" s="7" t="str">
        <f t="shared" si="920"/>
        <v>606</v>
      </c>
      <c r="C4479" s="7" t="s">
        <v>3533</v>
      </c>
      <c r="D4479" s="7" t="s">
        <v>3433</v>
      </c>
      <c r="E4479" s="7" t="str">
        <f>"陈惠楠"</f>
        <v>陈惠楠</v>
      </c>
      <c r="F4479" s="7" t="str">
        <f t="shared" si="921"/>
        <v>女</v>
      </c>
      <c r="G4479" s="7" t="s">
        <v>1041</v>
      </c>
      <c r="H4479" s="8"/>
    </row>
    <row r="4480" ht="25" customHeight="1" spans="1:8">
      <c r="A4480" s="6">
        <v>4478</v>
      </c>
      <c r="B4480" s="7" t="str">
        <f t="shared" si="920"/>
        <v>606</v>
      </c>
      <c r="C4480" s="7" t="s">
        <v>3533</v>
      </c>
      <c r="D4480" s="7" t="s">
        <v>3433</v>
      </c>
      <c r="E4480" s="7" t="str">
        <f>"王裕銮"</f>
        <v>王裕銮</v>
      </c>
      <c r="F4480" s="7" t="str">
        <f t="shared" si="921"/>
        <v>女</v>
      </c>
      <c r="G4480" s="7" t="s">
        <v>3579</v>
      </c>
      <c r="H4480" s="8"/>
    </row>
    <row r="4481" ht="25" customHeight="1" spans="1:8">
      <c r="A4481" s="6">
        <v>4479</v>
      </c>
      <c r="B4481" s="7" t="str">
        <f t="shared" si="920"/>
        <v>606</v>
      </c>
      <c r="C4481" s="7" t="s">
        <v>3533</v>
      </c>
      <c r="D4481" s="7" t="s">
        <v>3433</v>
      </c>
      <c r="E4481" s="7" t="str">
        <f>"曾琼逸"</f>
        <v>曾琼逸</v>
      </c>
      <c r="F4481" s="7" t="str">
        <f t="shared" si="921"/>
        <v>女</v>
      </c>
      <c r="G4481" s="7" t="s">
        <v>3580</v>
      </c>
      <c r="H4481" s="8"/>
    </row>
    <row r="4482" ht="25" customHeight="1" spans="1:8">
      <c r="A4482" s="6">
        <v>4480</v>
      </c>
      <c r="B4482" s="7" t="str">
        <f t="shared" si="920"/>
        <v>606</v>
      </c>
      <c r="C4482" s="7" t="s">
        <v>3533</v>
      </c>
      <c r="D4482" s="7" t="s">
        <v>3433</v>
      </c>
      <c r="E4482" s="7" t="str">
        <f>"吴莹莹"</f>
        <v>吴莹莹</v>
      </c>
      <c r="F4482" s="7" t="str">
        <f t="shared" si="921"/>
        <v>女</v>
      </c>
      <c r="G4482" s="7" t="s">
        <v>541</v>
      </c>
      <c r="H4482" s="8"/>
    </row>
    <row r="4483" ht="25" customHeight="1" spans="1:8">
      <c r="A4483" s="6">
        <v>4481</v>
      </c>
      <c r="B4483" s="7" t="str">
        <f t="shared" si="920"/>
        <v>606</v>
      </c>
      <c r="C4483" s="7" t="s">
        <v>3533</v>
      </c>
      <c r="D4483" s="7" t="s">
        <v>3433</v>
      </c>
      <c r="E4483" s="7" t="str">
        <f>"陈秋月"</f>
        <v>陈秋月</v>
      </c>
      <c r="F4483" s="7" t="str">
        <f t="shared" si="921"/>
        <v>女</v>
      </c>
      <c r="G4483" s="7" t="s">
        <v>1020</v>
      </c>
      <c r="H4483" s="8"/>
    </row>
    <row r="4484" ht="25" customHeight="1" spans="1:8">
      <c r="A4484" s="6">
        <v>4482</v>
      </c>
      <c r="B4484" s="7" t="str">
        <f t="shared" si="920"/>
        <v>606</v>
      </c>
      <c r="C4484" s="7" t="s">
        <v>3533</v>
      </c>
      <c r="D4484" s="7" t="s">
        <v>3433</v>
      </c>
      <c r="E4484" s="7" t="str">
        <f>"黄子仪"</f>
        <v>黄子仪</v>
      </c>
      <c r="F4484" s="7" t="str">
        <f t="shared" si="921"/>
        <v>女</v>
      </c>
      <c r="G4484" s="7" t="s">
        <v>684</v>
      </c>
      <c r="H4484" s="8"/>
    </row>
    <row r="4485" ht="25" customHeight="1" spans="1:8">
      <c r="A4485" s="6">
        <v>4483</v>
      </c>
      <c r="B4485" s="7" t="str">
        <f t="shared" si="920"/>
        <v>606</v>
      </c>
      <c r="C4485" s="7" t="s">
        <v>3533</v>
      </c>
      <c r="D4485" s="7" t="s">
        <v>3433</v>
      </c>
      <c r="E4485" s="7" t="str">
        <f>"王美丹"</f>
        <v>王美丹</v>
      </c>
      <c r="F4485" s="7" t="str">
        <f t="shared" si="921"/>
        <v>女</v>
      </c>
      <c r="G4485" s="7" t="s">
        <v>475</v>
      </c>
      <c r="H4485" s="8"/>
    </row>
    <row r="4486" ht="25" customHeight="1" spans="1:8">
      <c r="A4486" s="6">
        <v>4484</v>
      </c>
      <c r="B4486" s="7" t="str">
        <f t="shared" si="920"/>
        <v>606</v>
      </c>
      <c r="C4486" s="7" t="s">
        <v>3533</v>
      </c>
      <c r="D4486" s="7" t="s">
        <v>3433</v>
      </c>
      <c r="E4486" s="7" t="str">
        <f>"张玲"</f>
        <v>张玲</v>
      </c>
      <c r="F4486" s="7" t="str">
        <f t="shared" si="921"/>
        <v>女</v>
      </c>
      <c r="G4486" s="7" t="s">
        <v>3581</v>
      </c>
      <c r="H4486" s="8"/>
    </row>
    <row r="4487" ht="25" customHeight="1" spans="1:8">
      <c r="A4487" s="6">
        <v>4485</v>
      </c>
      <c r="B4487" s="7" t="str">
        <f t="shared" si="920"/>
        <v>606</v>
      </c>
      <c r="C4487" s="7" t="s">
        <v>3533</v>
      </c>
      <c r="D4487" s="7" t="s">
        <v>3433</v>
      </c>
      <c r="E4487" s="7" t="str">
        <f>"赵思洁"</f>
        <v>赵思洁</v>
      </c>
      <c r="F4487" s="7" t="str">
        <f t="shared" si="921"/>
        <v>女</v>
      </c>
      <c r="G4487" s="7" t="s">
        <v>3582</v>
      </c>
      <c r="H4487" s="8"/>
    </row>
    <row r="4488" ht="25" customHeight="1" spans="1:8">
      <c r="A4488" s="6">
        <v>4486</v>
      </c>
      <c r="B4488" s="7" t="str">
        <f t="shared" si="920"/>
        <v>606</v>
      </c>
      <c r="C4488" s="7" t="s">
        <v>3533</v>
      </c>
      <c r="D4488" s="7" t="s">
        <v>3433</v>
      </c>
      <c r="E4488" s="7" t="str">
        <f>"史妍妍"</f>
        <v>史妍妍</v>
      </c>
      <c r="F4488" s="7" t="str">
        <f t="shared" si="921"/>
        <v>女</v>
      </c>
      <c r="G4488" s="7" t="s">
        <v>2521</v>
      </c>
      <c r="H4488" s="8"/>
    </row>
    <row r="4489" ht="25" customHeight="1" spans="1:8">
      <c r="A4489" s="6">
        <v>4487</v>
      </c>
      <c r="B4489" s="7" t="str">
        <f t="shared" si="920"/>
        <v>606</v>
      </c>
      <c r="C4489" s="7" t="s">
        <v>3533</v>
      </c>
      <c r="D4489" s="7" t="s">
        <v>3433</v>
      </c>
      <c r="E4489" s="7" t="str">
        <f>"陈思思"</f>
        <v>陈思思</v>
      </c>
      <c r="F4489" s="7" t="str">
        <f t="shared" si="921"/>
        <v>女</v>
      </c>
      <c r="G4489" s="7" t="s">
        <v>2836</v>
      </c>
      <c r="H4489" s="8"/>
    </row>
    <row r="4490" ht="25" customHeight="1" spans="1:8">
      <c r="A4490" s="6">
        <v>4488</v>
      </c>
      <c r="B4490" s="7" t="str">
        <f t="shared" si="920"/>
        <v>606</v>
      </c>
      <c r="C4490" s="7" t="s">
        <v>3533</v>
      </c>
      <c r="D4490" s="7" t="s">
        <v>3433</v>
      </c>
      <c r="E4490" s="7" t="str">
        <f>"马海燕"</f>
        <v>马海燕</v>
      </c>
      <c r="F4490" s="7" t="str">
        <f t="shared" si="921"/>
        <v>女</v>
      </c>
      <c r="G4490" s="7" t="s">
        <v>3583</v>
      </c>
      <c r="H4490" s="8"/>
    </row>
    <row r="4491" ht="25" customHeight="1" spans="1:8">
      <c r="A4491" s="6">
        <v>4489</v>
      </c>
      <c r="B4491" s="7" t="str">
        <f t="shared" si="920"/>
        <v>606</v>
      </c>
      <c r="C4491" s="7" t="s">
        <v>3533</v>
      </c>
      <c r="D4491" s="7" t="s">
        <v>3433</v>
      </c>
      <c r="E4491" s="7" t="str">
        <f>"刘莉莉"</f>
        <v>刘莉莉</v>
      </c>
      <c r="F4491" s="7" t="str">
        <f t="shared" si="921"/>
        <v>女</v>
      </c>
      <c r="G4491" s="7" t="s">
        <v>3584</v>
      </c>
      <c r="H4491" s="8"/>
    </row>
    <row r="4492" ht="25" customHeight="1" spans="1:8">
      <c r="A4492" s="6">
        <v>4490</v>
      </c>
      <c r="B4492" s="7" t="str">
        <f t="shared" si="920"/>
        <v>606</v>
      </c>
      <c r="C4492" s="7" t="s">
        <v>3533</v>
      </c>
      <c r="D4492" s="7" t="s">
        <v>3433</v>
      </c>
      <c r="E4492" s="7" t="str">
        <f>"刘红霞"</f>
        <v>刘红霞</v>
      </c>
      <c r="F4492" s="7" t="str">
        <f t="shared" si="921"/>
        <v>女</v>
      </c>
      <c r="G4492" s="7" t="s">
        <v>3585</v>
      </c>
      <c r="H4492" s="8"/>
    </row>
    <row r="4493" ht="25" customHeight="1" spans="1:8">
      <c r="A4493" s="6">
        <v>4491</v>
      </c>
      <c r="B4493" s="7" t="str">
        <f t="shared" si="920"/>
        <v>606</v>
      </c>
      <c r="C4493" s="7" t="s">
        <v>3533</v>
      </c>
      <c r="D4493" s="7" t="s">
        <v>3433</v>
      </c>
      <c r="E4493" s="7" t="str">
        <f>"符秋丹"</f>
        <v>符秋丹</v>
      </c>
      <c r="F4493" s="7" t="str">
        <f t="shared" si="921"/>
        <v>女</v>
      </c>
      <c r="G4493" s="7" t="s">
        <v>3586</v>
      </c>
      <c r="H4493" s="8"/>
    </row>
    <row r="4494" ht="25" customHeight="1" spans="1:8">
      <c r="A4494" s="6">
        <v>4492</v>
      </c>
      <c r="B4494" s="7" t="str">
        <f t="shared" si="920"/>
        <v>606</v>
      </c>
      <c r="C4494" s="7" t="s">
        <v>3533</v>
      </c>
      <c r="D4494" s="7" t="s">
        <v>3433</v>
      </c>
      <c r="E4494" s="7" t="str">
        <f>"吴仕娟"</f>
        <v>吴仕娟</v>
      </c>
      <c r="F4494" s="7" t="str">
        <f t="shared" si="921"/>
        <v>女</v>
      </c>
      <c r="G4494" s="7" t="s">
        <v>3587</v>
      </c>
      <c r="H4494" s="8"/>
    </row>
    <row r="4495" ht="25" customHeight="1" spans="1:8">
      <c r="A4495" s="6">
        <v>4493</v>
      </c>
      <c r="B4495" s="7" t="str">
        <f t="shared" si="920"/>
        <v>606</v>
      </c>
      <c r="C4495" s="7" t="s">
        <v>3533</v>
      </c>
      <c r="D4495" s="7" t="s">
        <v>3433</v>
      </c>
      <c r="E4495" s="7" t="str">
        <f>"何芬"</f>
        <v>何芬</v>
      </c>
      <c r="F4495" s="7" t="str">
        <f t="shared" si="921"/>
        <v>女</v>
      </c>
      <c r="G4495" s="7" t="s">
        <v>3588</v>
      </c>
      <c r="H4495" s="8"/>
    </row>
    <row r="4496" ht="25" customHeight="1" spans="1:8">
      <c r="A4496" s="6">
        <v>4494</v>
      </c>
      <c r="B4496" s="7" t="str">
        <f t="shared" si="920"/>
        <v>606</v>
      </c>
      <c r="C4496" s="7" t="s">
        <v>3533</v>
      </c>
      <c r="D4496" s="7" t="s">
        <v>3433</v>
      </c>
      <c r="E4496" s="7" t="str">
        <f>"李垒"</f>
        <v>李垒</v>
      </c>
      <c r="F4496" s="7" t="str">
        <f t="shared" si="921"/>
        <v>女</v>
      </c>
      <c r="G4496" s="7" t="s">
        <v>3589</v>
      </c>
      <c r="H4496" s="8"/>
    </row>
    <row r="4497" ht="25" customHeight="1" spans="1:8">
      <c r="A4497" s="6">
        <v>4495</v>
      </c>
      <c r="B4497" s="7" t="str">
        <f t="shared" si="920"/>
        <v>606</v>
      </c>
      <c r="C4497" s="7" t="s">
        <v>3533</v>
      </c>
      <c r="D4497" s="7" t="s">
        <v>3433</v>
      </c>
      <c r="E4497" s="7" t="str">
        <f>"欧先航"</f>
        <v>欧先航</v>
      </c>
      <c r="F4497" s="7" t="str">
        <f>"男"</f>
        <v>男</v>
      </c>
      <c r="G4497" s="7" t="s">
        <v>278</v>
      </c>
      <c r="H4497" s="8"/>
    </row>
    <row r="4498" ht="25" customHeight="1" spans="1:8">
      <c r="A4498" s="6">
        <v>4496</v>
      </c>
      <c r="B4498" s="7" t="str">
        <f t="shared" si="920"/>
        <v>606</v>
      </c>
      <c r="C4498" s="7" t="s">
        <v>3533</v>
      </c>
      <c r="D4498" s="7" t="s">
        <v>3433</v>
      </c>
      <c r="E4498" s="7" t="str">
        <f>"李宾"</f>
        <v>李宾</v>
      </c>
      <c r="F4498" s="7" t="str">
        <f t="shared" ref="F4498:F4507" si="922">"女"</f>
        <v>女</v>
      </c>
      <c r="G4498" s="7" t="s">
        <v>324</v>
      </c>
      <c r="H4498" s="8"/>
    </row>
    <row r="4499" ht="25" customHeight="1" spans="1:8">
      <c r="A4499" s="6">
        <v>4497</v>
      </c>
      <c r="B4499" s="7" t="str">
        <f t="shared" si="920"/>
        <v>606</v>
      </c>
      <c r="C4499" s="7" t="s">
        <v>3533</v>
      </c>
      <c r="D4499" s="7" t="s">
        <v>3433</v>
      </c>
      <c r="E4499" s="7" t="str">
        <f>"冯映丹"</f>
        <v>冯映丹</v>
      </c>
      <c r="F4499" s="7" t="str">
        <f t="shared" si="922"/>
        <v>女</v>
      </c>
      <c r="G4499" s="7" t="s">
        <v>3590</v>
      </c>
      <c r="H4499" s="8"/>
    </row>
    <row r="4500" ht="25" customHeight="1" spans="1:8">
      <c r="A4500" s="6">
        <v>4498</v>
      </c>
      <c r="B4500" s="7" t="str">
        <f t="shared" si="920"/>
        <v>606</v>
      </c>
      <c r="C4500" s="7" t="s">
        <v>3533</v>
      </c>
      <c r="D4500" s="7" t="s">
        <v>3433</v>
      </c>
      <c r="E4500" s="7" t="str">
        <f>"王心梅"</f>
        <v>王心梅</v>
      </c>
      <c r="F4500" s="7" t="str">
        <f t="shared" si="922"/>
        <v>女</v>
      </c>
      <c r="G4500" s="7" t="s">
        <v>3591</v>
      </c>
      <c r="H4500" s="8"/>
    </row>
    <row r="4501" ht="25" customHeight="1" spans="1:8">
      <c r="A4501" s="6">
        <v>4499</v>
      </c>
      <c r="B4501" s="7" t="str">
        <f t="shared" si="920"/>
        <v>606</v>
      </c>
      <c r="C4501" s="7" t="s">
        <v>3533</v>
      </c>
      <c r="D4501" s="7" t="s">
        <v>3433</v>
      </c>
      <c r="E4501" s="7" t="str">
        <f>"龙知识"</f>
        <v>龙知识</v>
      </c>
      <c r="F4501" s="7" t="str">
        <f t="shared" si="922"/>
        <v>女</v>
      </c>
      <c r="G4501" s="7" t="s">
        <v>3592</v>
      </c>
      <c r="H4501" s="8"/>
    </row>
    <row r="4502" ht="25" customHeight="1" spans="1:8">
      <c r="A4502" s="6">
        <v>4500</v>
      </c>
      <c r="B4502" s="7" t="str">
        <f t="shared" si="920"/>
        <v>606</v>
      </c>
      <c r="C4502" s="7" t="s">
        <v>3533</v>
      </c>
      <c r="D4502" s="7" t="s">
        <v>3433</v>
      </c>
      <c r="E4502" s="7" t="str">
        <f>"李寨"</f>
        <v>李寨</v>
      </c>
      <c r="F4502" s="7" t="str">
        <f t="shared" si="922"/>
        <v>女</v>
      </c>
      <c r="G4502" s="7" t="s">
        <v>338</v>
      </c>
      <c r="H4502" s="8"/>
    </row>
    <row r="4503" ht="25" customHeight="1" spans="1:8">
      <c r="A4503" s="6">
        <v>4501</v>
      </c>
      <c r="B4503" s="7" t="str">
        <f t="shared" si="920"/>
        <v>606</v>
      </c>
      <c r="C4503" s="7" t="s">
        <v>3533</v>
      </c>
      <c r="D4503" s="7" t="s">
        <v>3433</v>
      </c>
      <c r="E4503" s="7" t="str">
        <f>"黄谢"</f>
        <v>黄谢</v>
      </c>
      <c r="F4503" s="7" t="str">
        <f t="shared" si="922"/>
        <v>女</v>
      </c>
      <c r="G4503" s="7" t="s">
        <v>1398</v>
      </c>
      <c r="H4503" s="8"/>
    </row>
    <row r="4504" ht="25" customHeight="1" spans="1:8">
      <c r="A4504" s="6">
        <v>4502</v>
      </c>
      <c r="B4504" s="7" t="str">
        <f t="shared" si="920"/>
        <v>606</v>
      </c>
      <c r="C4504" s="7" t="s">
        <v>3533</v>
      </c>
      <c r="D4504" s="7" t="s">
        <v>3433</v>
      </c>
      <c r="E4504" s="7" t="str">
        <f>"蔡婷"</f>
        <v>蔡婷</v>
      </c>
      <c r="F4504" s="7" t="str">
        <f t="shared" si="922"/>
        <v>女</v>
      </c>
      <c r="G4504" s="7" t="s">
        <v>3593</v>
      </c>
      <c r="H4504" s="8"/>
    </row>
    <row r="4505" ht="25" customHeight="1" spans="1:8">
      <c r="A4505" s="6">
        <v>4503</v>
      </c>
      <c r="B4505" s="7" t="str">
        <f t="shared" si="920"/>
        <v>606</v>
      </c>
      <c r="C4505" s="7" t="s">
        <v>3533</v>
      </c>
      <c r="D4505" s="7" t="s">
        <v>3433</v>
      </c>
      <c r="E4505" s="7" t="str">
        <f>"胡莹莹"</f>
        <v>胡莹莹</v>
      </c>
      <c r="F4505" s="7" t="str">
        <f t="shared" si="922"/>
        <v>女</v>
      </c>
      <c r="G4505" s="7" t="s">
        <v>709</v>
      </c>
      <c r="H4505" s="8"/>
    </row>
    <row r="4506" ht="25" customHeight="1" spans="1:8">
      <c r="A4506" s="6">
        <v>4504</v>
      </c>
      <c r="B4506" s="7" t="str">
        <f t="shared" si="920"/>
        <v>606</v>
      </c>
      <c r="C4506" s="7" t="s">
        <v>3533</v>
      </c>
      <c r="D4506" s="7" t="s">
        <v>3433</v>
      </c>
      <c r="E4506" s="7" t="str">
        <f>"林慧卿"</f>
        <v>林慧卿</v>
      </c>
      <c r="F4506" s="7" t="str">
        <f t="shared" si="922"/>
        <v>女</v>
      </c>
      <c r="G4506" s="7" t="s">
        <v>3334</v>
      </c>
      <c r="H4506" s="8"/>
    </row>
    <row r="4507" ht="25" customHeight="1" spans="1:8">
      <c r="A4507" s="6">
        <v>4505</v>
      </c>
      <c r="B4507" s="7" t="str">
        <f t="shared" si="920"/>
        <v>606</v>
      </c>
      <c r="C4507" s="7" t="s">
        <v>3533</v>
      </c>
      <c r="D4507" s="7" t="s">
        <v>3433</v>
      </c>
      <c r="E4507" s="7" t="str">
        <f>"高拦娟"</f>
        <v>高拦娟</v>
      </c>
      <c r="F4507" s="7" t="str">
        <f t="shared" si="922"/>
        <v>女</v>
      </c>
      <c r="G4507" s="7" t="s">
        <v>2681</v>
      </c>
      <c r="H4507" s="8"/>
    </row>
    <row r="4508" ht="25" customHeight="1" spans="1:8">
      <c r="A4508" s="6">
        <v>4506</v>
      </c>
      <c r="B4508" s="7" t="str">
        <f t="shared" si="920"/>
        <v>606</v>
      </c>
      <c r="C4508" s="7" t="s">
        <v>3533</v>
      </c>
      <c r="D4508" s="7" t="s">
        <v>3433</v>
      </c>
      <c r="E4508" s="7" t="str">
        <f>"叶兴盛"</f>
        <v>叶兴盛</v>
      </c>
      <c r="F4508" s="7" t="str">
        <f>"男"</f>
        <v>男</v>
      </c>
      <c r="G4508" s="7" t="s">
        <v>3594</v>
      </c>
      <c r="H4508" s="8"/>
    </row>
    <row r="4509" ht="25" customHeight="1" spans="1:8">
      <c r="A4509" s="6">
        <v>4507</v>
      </c>
      <c r="B4509" s="7" t="str">
        <f t="shared" si="920"/>
        <v>606</v>
      </c>
      <c r="C4509" s="7" t="s">
        <v>3533</v>
      </c>
      <c r="D4509" s="7" t="s">
        <v>3433</v>
      </c>
      <c r="E4509" s="7" t="str">
        <f>"李同曜"</f>
        <v>李同曜</v>
      </c>
      <c r="F4509" s="7" t="str">
        <f>"男"</f>
        <v>男</v>
      </c>
      <c r="G4509" s="7" t="s">
        <v>3595</v>
      </c>
      <c r="H4509" s="8"/>
    </row>
    <row r="4510" ht="25" customHeight="1" spans="1:8">
      <c r="A4510" s="6">
        <v>4508</v>
      </c>
      <c r="B4510" s="7" t="str">
        <f t="shared" si="920"/>
        <v>606</v>
      </c>
      <c r="C4510" s="7" t="s">
        <v>3533</v>
      </c>
      <c r="D4510" s="7" t="s">
        <v>3433</v>
      </c>
      <c r="E4510" s="7" t="str">
        <f>"李雅恋"</f>
        <v>李雅恋</v>
      </c>
      <c r="F4510" s="7" t="str">
        <f t="shared" ref="F4510:F4513" si="923">"女"</f>
        <v>女</v>
      </c>
      <c r="G4510" s="7" t="s">
        <v>3596</v>
      </c>
      <c r="H4510" s="8"/>
    </row>
    <row r="4511" ht="25" customHeight="1" spans="1:8">
      <c r="A4511" s="6">
        <v>4509</v>
      </c>
      <c r="B4511" s="7" t="str">
        <f t="shared" si="920"/>
        <v>606</v>
      </c>
      <c r="C4511" s="7" t="s">
        <v>3533</v>
      </c>
      <c r="D4511" s="7" t="s">
        <v>3433</v>
      </c>
      <c r="E4511" s="7" t="str">
        <f>"蔡昕彤"</f>
        <v>蔡昕彤</v>
      </c>
      <c r="F4511" s="7" t="str">
        <f t="shared" si="923"/>
        <v>女</v>
      </c>
      <c r="G4511" s="7" t="s">
        <v>3597</v>
      </c>
      <c r="H4511" s="8"/>
    </row>
    <row r="4512" ht="25" customHeight="1" spans="1:8">
      <c r="A4512" s="6">
        <v>4510</v>
      </c>
      <c r="B4512" s="7" t="str">
        <f t="shared" si="920"/>
        <v>606</v>
      </c>
      <c r="C4512" s="7" t="s">
        <v>3533</v>
      </c>
      <c r="D4512" s="7" t="s">
        <v>3433</v>
      </c>
      <c r="E4512" s="7" t="str">
        <f>"符明芳"</f>
        <v>符明芳</v>
      </c>
      <c r="F4512" s="7" t="str">
        <f t="shared" si="923"/>
        <v>女</v>
      </c>
      <c r="G4512" s="7" t="s">
        <v>3598</v>
      </c>
      <c r="H4512" s="8"/>
    </row>
    <row r="4513" ht="25" customHeight="1" spans="1:8">
      <c r="A4513" s="6">
        <v>4511</v>
      </c>
      <c r="B4513" s="7" t="str">
        <f t="shared" si="920"/>
        <v>606</v>
      </c>
      <c r="C4513" s="7" t="s">
        <v>3533</v>
      </c>
      <c r="D4513" s="7" t="s">
        <v>3433</v>
      </c>
      <c r="E4513" s="7" t="str">
        <f>"蒲蕾蕾"</f>
        <v>蒲蕾蕾</v>
      </c>
      <c r="F4513" s="7" t="str">
        <f t="shared" si="923"/>
        <v>女</v>
      </c>
      <c r="G4513" s="7" t="s">
        <v>3599</v>
      </c>
      <c r="H4513" s="8"/>
    </row>
    <row r="4514" ht="25" customHeight="1" spans="1:8">
      <c r="A4514" s="6">
        <v>4512</v>
      </c>
      <c r="B4514" s="7" t="str">
        <f t="shared" si="920"/>
        <v>606</v>
      </c>
      <c r="C4514" s="7" t="s">
        <v>3533</v>
      </c>
      <c r="D4514" s="7" t="s">
        <v>3433</v>
      </c>
      <c r="E4514" s="7" t="str">
        <f>"符安芸"</f>
        <v>符安芸</v>
      </c>
      <c r="F4514" s="7" t="str">
        <f>"男"</f>
        <v>男</v>
      </c>
      <c r="G4514" s="7" t="s">
        <v>3600</v>
      </c>
      <c r="H4514" s="8"/>
    </row>
    <row r="4515" ht="25" customHeight="1" spans="1:8">
      <c r="A4515" s="6">
        <v>4513</v>
      </c>
      <c r="B4515" s="7" t="str">
        <f t="shared" si="920"/>
        <v>606</v>
      </c>
      <c r="C4515" s="7" t="s">
        <v>3533</v>
      </c>
      <c r="D4515" s="7" t="s">
        <v>3433</v>
      </c>
      <c r="E4515" s="7" t="str">
        <f>"程娟"</f>
        <v>程娟</v>
      </c>
      <c r="F4515" s="7" t="str">
        <f t="shared" ref="F4515:F4518" si="924">"女"</f>
        <v>女</v>
      </c>
      <c r="G4515" s="7" t="s">
        <v>3593</v>
      </c>
      <c r="H4515" s="8"/>
    </row>
    <row r="4516" ht="25" customHeight="1" spans="1:8">
      <c r="A4516" s="6">
        <v>4514</v>
      </c>
      <c r="B4516" s="7" t="str">
        <f t="shared" si="920"/>
        <v>606</v>
      </c>
      <c r="C4516" s="7" t="s">
        <v>3533</v>
      </c>
      <c r="D4516" s="7" t="s">
        <v>3433</v>
      </c>
      <c r="E4516" s="7" t="str">
        <f>"文香丹"</f>
        <v>文香丹</v>
      </c>
      <c r="F4516" s="7" t="str">
        <f t="shared" si="924"/>
        <v>女</v>
      </c>
      <c r="G4516" s="7" t="s">
        <v>3601</v>
      </c>
      <c r="H4516" s="8"/>
    </row>
    <row r="4517" ht="25" customHeight="1" spans="1:8">
      <c r="A4517" s="6">
        <v>4515</v>
      </c>
      <c r="B4517" s="7" t="str">
        <f t="shared" si="920"/>
        <v>606</v>
      </c>
      <c r="C4517" s="7" t="s">
        <v>3533</v>
      </c>
      <c r="D4517" s="7" t="s">
        <v>3433</v>
      </c>
      <c r="E4517" s="7" t="str">
        <f>"符慧敏"</f>
        <v>符慧敏</v>
      </c>
      <c r="F4517" s="7" t="str">
        <f t="shared" si="924"/>
        <v>女</v>
      </c>
      <c r="G4517" s="7" t="s">
        <v>3602</v>
      </c>
      <c r="H4517" s="8"/>
    </row>
    <row r="4518" ht="25" customHeight="1" spans="1:8">
      <c r="A4518" s="6">
        <v>4516</v>
      </c>
      <c r="B4518" s="7" t="str">
        <f t="shared" si="920"/>
        <v>606</v>
      </c>
      <c r="C4518" s="7" t="s">
        <v>3533</v>
      </c>
      <c r="D4518" s="7" t="s">
        <v>3433</v>
      </c>
      <c r="E4518" s="7" t="str">
        <f>"宋芳霞"</f>
        <v>宋芳霞</v>
      </c>
      <c r="F4518" s="7" t="str">
        <f t="shared" si="924"/>
        <v>女</v>
      </c>
      <c r="G4518" s="7" t="s">
        <v>507</v>
      </c>
      <c r="H4518" s="8"/>
    </row>
    <row r="4519" ht="25" customHeight="1" spans="1:8">
      <c r="A4519" s="6">
        <v>4517</v>
      </c>
      <c r="B4519" s="7" t="str">
        <f t="shared" si="920"/>
        <v>606</v>
      </c>
      <c r="C4519" s="7" t="s">
        <v>3533</v>
      </c>
      <c r="D4519" s="7" t="s">
        <v>3433</v>
      </c>
      <c r="E4519" s="7" t="str">
        <f>"王平勇"</f>
        <v>王平勇</v>
      </c>
      <c r="F4519" s="7" t="str">
        <f>"男"</f>
        <v>男</v>
      </c>
      <c r="G4519" s="7" t="s">
        <v>3603</v>
      </c>
      <c r="H4519" s="8"/>
    </row>
    <row r="4520" ht="25" customHeight="1" spans="1:8">
      <c r="A4520" s="6">
        <v>4518</v>
      </c>
      <c r="B4520" s="7" t="str">
        <f t="shared" si="920"/>
        <v>606</v>
      </c>
      <c r="C4520" s="7" t="s">
        <v>3533</v>
      </c>
      <c r="D4520" s="7" t="s">
        <v>3433</v>
      </c>
      <c r="E4520" s="7" t="str">
        <f>"舒小凤"</f>
        <v>舒小凤</v>
      </c>
      <c r="F4520" s="7" t="str">
        <f t="shared" ref="F4520:F4527" si="925">"女"</f>
        <v>女</v>
      </c>
      <c r="G4520" s="7" t="s">
        <v>3604</v>
      </c>
      <c r="H4520" s="8"/>
    </row>
    <row r="4521" ht="25" customHeight="1" spans="1:8">
      <c r="A4521" s="6">
        <v>4519</v>
      </c>
      <c r="B4521" s="7" t="str">
        <f t="shared" si="920"/>
        <v>606</v>
      </c>
      <c r="C4521" s="7" t="s">
        <v>3533</v>
      </c>
      <c r="D4521" s="7" t="s">
        <v>3433</v>
      </c>
      <c r="E4521" s="7" t="str">
        <f>"武晓慧"</f>
        <v>武晓慧</v>
      </c>
      <c r="F4521" s="7" t="str">
        <f t="shared" si="925"/>
        <v>女</v>
      </c>
      <c r="G4521" s="7" t="s">
        <v>3605</v>
      </c>
      <c r="H4521" s="8"/>
    </row>
    <row r="4522" ht="25" customHeight="1" spans="1:8">
      <c r="A4522" s="6">
        <v>4520</v>
      </c>
      <c r="B4522" s="7" t="str">
        <f t="shared" si="920"/>
        <v>606</v>
      </c>
      <c r="C4522" s="7" t="s">
        <v>3533</v>
      </c>
      <c r="D4522" s="7" t="s">
        <v>3433</v>
      </c>
      <c r="E4522" s="7" t="str">
        <f>"刘亚"</f>
        <v>刘亚</v>
      </c>
      <c r="F4522" s="7" t="str">
        <f t="shared" si="925"/>
        <v>女</v>
      </c>
      <c r="G4522" s="7" t="s">
        <v>3606</v>
      </c>
      <c r="H4522" s="8"/>
    </row>
    <row r="4523" ht="25" customHeight="1" spans="1:8">
      <c r="A4523" s="6">
        <v>4521</v>
      </c>
      <c r="B4523" s="7" t="str">
        <f t="shared" si="920"/>
        <v>606</v>
      </c>
      <c r="C4523" s="7" t="s">
        <v>3533</v>
      </c>
      <c r="D4523" s="7" t="s">
        <v>3433</v>
      </c>
      <c r="E4523" s="7" t="str">
        <f>"王慧茹"</f>
        <v>王慧茹</v>
      </c>
      <c r="F4523" s="7" t="str">
        <f t="shared" si="925"/>
        <v>女</v>
      </c>
      <c r="G4523" s="7" t="s">
        <v>748</v>
      </c>
      <c r="H4523" s="8"/>
    </row>
    <row r="4524" ht="25" customHeight="1" spans="1:8">
      <c r="A4524" s="6">
        <v>4522</v>
      </c>
      <c r="B4524" s="7" t="str">
        <f t="shared" si="920"/>
        <v>606</v>
      </c>
      <c r="C4524" s="7" t="s">
        <v>3533</v>
      </c>
      <c r="D4524" s="7" t="s">
        <v>3433</v>
      </c>
      <c r="E4524" s="7" t="str">
        <f>"赵佳佳"</f>
        <v>赵佳佳</v>
      </c>
      <c r="F4524" s="7" t="str">
        <f t="shared" si="925"/>
        <v>女</v>
      </c>
      <c r="G4524" s="7" t="s">
        <v>3607</v>
      </c>
      <c r="H4524" s="8"/>
    </row>
    <row r="4525" ht="25" customHeight="1" spans="1:8">
      <c r="A4525" s="6">
        <v>4523</v>
      </c>
      <c r="B4525" s="7" t="str">
        <f t="shared" si="920"/>
        <v>606</v>
      </c>
      <c r="C4525" s="7" t="s">
        <v>3533</v>
      </c>
      <c r="D4525" s="7" t="s">
        <v>3433</v>
      </c>
      <c r="E4525" s="7" t="str">
        <f>"林淑妃"</f>
        <v>林淑妃</v>
      </c>
      <c r="F4525" s="7" t="str">
        <f t="shared" si="925"/>
        <v>女</v>
      </c>
      <c r="G4525" s="7" t="s">
        <v>3608</v>
      </c>
      <c r="H4525" s="8"/>
    </row>
    <row r="4526" ht="25" customHeight="1" spans="1:8">
      <c r="A4526" s="6">
        <v>4524</v>
      </c>
      <c r="B4526" s="7" t="str">
        <f t="shared" si="920"/>
        <v>606</v>
      </c>
      <c r="C4526" s="7" t="s">
        <v>3533</v>
      </c>
      <c r="D4526" s="7" t="s">
        <v>3433</v>
      </c>
      <c r="E4526" s="7" t="str">
        <f>"黄夏梦"</f>
        <v>黄夏梦</v>
      </c>
      <c r="F4526" s="7" t="str">
        <f t="shared" si="925"/>
        <v>女</v>
      </c>
      <c r="G4526" s="7" t="s">
        <v>2706</v>
      </c>
      <c r="H4526" s="8"/>
    </row>
    <row r="4527" ht="25" customHeight="1" spans="1:8">
      <c r="A4527" s="6">
        <v>4525</v>
      </c>
      <c r="B4527" s="7" t="str">
        <f t="shared" si="920"/>
        <v>606</v>
      </c>
      <c r="C4527" s="7" t="s">
        <v>3533</v>
      </c>
      <c r="D4527" s="7" t="s">
        <v>3433</v>
      </c>
      <c r="E4527" s="7" t="str">
        <f>"陈向丽"</f>
        <v>陈向丽</v>
      </c>
      <c r="F4527" s="7" t="str">
        <f t="shared" si="925"/>
        <v>女</v>
      </c>
      <c r="G4527" s="7" t="s">
        <v>3609</v>
      </c>
      <c r="H4527" s="8"/>
    </row>
    <row r="4528" ht="25" customHeight="1" spans="1:8">
      <c r="A4528" s="6">
        <v>4526</v>
      </c>
      <c r="B4528" s="7" t="str">
        <f t="shared" ref="B4528:B4576" si="926">"607"</f>
        <v>607</v>
      </c>
      <c r="C4528" s="7" t="s">
        <v>3169</v>
      </c>
      <c r="D4528" s="7" t="s">
        <v>3433</v>
      </c>
      <c r="E4528" s="7" t="str">
        <f>"张其召"</f>
        <v>张其召</v>
      </c>
      <c r="F4528" s="7" t="str">
        <f>"男"</f>
        <v>男</v>
      </c>
      <c r="G4528" s="7" t="s">
        <v>3610</v>
      </c>
      <c r="H4528" s="8"/>
    </row>
    <row r="4529" ht="25" customHeight="1" spans="1:8">
      <c r="A4529" s="6">
        <v>4527</v>
      </c>
      <c r="B4529" s="7" t="str">
        <f t="shared" si="926"/>
        <v>607</v>
      </c>
      <c r="C4529" s="7" t="s">
        <v>3169</v>
      </c>
      <c r="D4529" s="7" t="s">
        <v>3433</v>
      </c>
      <c r="E4529" s="7" t="str">
        <f>"符裕珍"</f>
        <v>符裕珍</v>
      </c>
      <c r="F4529" s="7" t="str">
        <f t="shared" ref="F4529:F4534" si="927">"女"</f>
        <v>女</v>
      </c>
      <c r="G4529" s="7" t="s">
        <v>375</v>
      </c>
      <c r="H4529" s="8"/>
    </row>
    <row r="4530" ht="25" customHeight="1" spans="1:8">
      <c r="A4530" s="6">
        <v>4528</v>
      </c>
      <c r="B4530" s="7" t="str">
        <f t="shared" si="926"/>
        <v>607</v>
      </c>
      <c r="C4530" s="7" t="s">
        <v>3169</v>
      </c>
      <c r="D4530" s="7" t="s">
        <v>3433</v>
      </c>
      <c r="E4530" s="7" t="str">
        <f>"张晶晶"</f>
        <v>张晶晶</v>
      </c>
      <c r="F4530" s="7" t="str">
        <f t="shared" si="927"/>
        <v>女</v>
      </c>
      <c r="G4530" s="7" t="s">
        <v>3611</v>
      </c>
      <c r="H4530" s="8"/>
    </row>
    <row r="4531" ht="25" customHeight="1" spans="1:8">
      <c r="A4531" s="6">
        <v>4529</v>
      </c>
      <c r="B4531" s="7" t="str">
        <f t="shared" si="926"/>
        <v>607</v>
      </c>
      <c r="C4531" s="7" t="s">
        <v>3169</v>
      </c>
      <c r="D4531" s="7" t="s">
        <v>3433</v>
      </c>
      <c r="E4531" s="7" t="str">
        <f>"蒋天天"</f>
        <v>蒋天天</v>
      </c>
      <c r="F4531" s="7" t="str">
        <f t="shared" si="927"/>
        <v>女</v>
      </c>
      <c r="G4531" s="7" t="s">
        <v>3612</v>
      </c>
      <c r="H4531" s="8"/>
    </row>
    <row r="4532" ht="25" customHeight="1" spans="1:8">
      <c r="A4532" s="6">
        <v>4530</v>
      </c>
      <c r="B4532" s="7" t="str">
        <f t="shared" si="926"/>
        <v>607</v>
      </c>
      <c r="C4532" s="7" t="s">
        <v>3169</v>
      </c>
      <c r="D4532" s="7" t="s">
        <v>3433</v>
      </c>
      <c r="E4532" s="7" t="str">
        <f>"旷江玲"</f>
        <v>旷江玲</v>
      </c>
      <c r="F4532" s="7" t="str">
        <f t="shared" si="927"/>
        <v>女</v>
      </c>
      <c r="G4532" s="7" t="s">
        <v>3613</v>
      </c>
      <c r="H4532" s="8"/>
    </row>
    <row r="4533" ht="25" customHeight="1" spans="1:8">
      <c r="A4533" s="6">
        <v>4531</v>
      </c>
      <c r="B4533" s="7" t="str">
        <f t="shared" si="926"/>
        <v>607</v>
      </c>
      <c r="C4533" s="7" t="s">
        <v>3169</v>
      </c>
      <c r="D4533" s="7" t="s">
        <v>3433</v>
      </c>
      <c r="E4533" s="7" t="str">
        <f>"陈丽姣"</f>
        <v>陈丽姣</v>
      </c>
      <c r="F4533" s="7" t="str">
        <f t="shared" si="927"/>
        <v>女</v>
      </c>
      <c r="G4533" s="7" t="s">
        <v>3614</v>
      </c>
      <c r="H4533" s="8"/>
    </row>
    <row r="4534" ht="25" customHeight="1" spans="1:8">
      <c r="A4534" s="6">
        <v>4532</v>
      </c>
      <c r="B4534" s="7" t="str">
        <f t="shared" si="926"/>
        <v>607</v>
      </c>
      <c r="C4534" s="7" t="s">
        <v>3169</v>
      </c>
      <c r="D4534" s="7" t="s">
        <v>3433</v>
      </c>
      <c r="E4534" s="7" t="str">
        <f>"羊冬盖"</f>
        <v>羊冬盖</v>
      </c>
      <c r="F4534" s="7" t="str">
        <f t="shared" si="927"/>
        <v>女</v>
      </c>
      <c r="G4534" s="7" t="s">
        <v>3615</v>
      </c>
      <c r="H4534" s="8"/>
    </row>
    <row r="4535" ht="25" customHeight="1" spans="1:8">
      <c r="A4535" s="6">
        <v>4533</v>
      </c>
      <c r="B4535" s="7" t="str">
        <f t="shared" si="926"/>
        <v>607</v>
      </c>
      <c r="C4535" s="7" t="s">
        <v>3169</v>
      </c>
      <c r="D4535" s="7" t="s">
        <v>3433</v>
      </c>
      <c r="E4535" s="7" t="str">
        <f>"林谊"</f>
        <v>林谊</v>
      </c>
      <c r="F4535" s="7" t="str">
        <f>"男"</f>
        <v>男</v>
      </c>
      <c r="G4535" s="7" t="s">
        <v>3616</v>
      </c>
      <c r="H4535" s="8"/>
    </row>
    <row r="4536" ht="25" customHeight="1" spans="1:8">
      <c r="A4536" s="6">
        <v>4534</v>
      </c>
      <c r="B4536" s="7" t="str">
        <f t="shared" si="926"/>
        <v>607</v>
      </c>
      <c r="C4536" s="7" t="s">
        <v>3169</v>
      </c>
      <c r="D4536" s="7" t="s">
        <v>3433</v>
      </c>
      <c r="E4536" s="7" t="str">
        <f>"梁武彤"</f>
        <v>梁武彤</v>
      </c>
      <c r="F4536" s="7" t="str">
        <f>"男"</f>
        <v>男</v>
      </c>
      <c r="G4536" s="7" t="s">
        <v>1572</v>
      </c>
      <c r="H4536" s="8"/>
    </row>
    <row r="4537" ht="25" customHeight="1" spans="1:8">
      <c r="A4537" s="6">
        <v>4535</v>
      </c>
      <c r="B4537" s="7" t="str">
        <f t="shared" si="926"/>
        <v>607</v>
      </c>
      <c r="C4537" s="7" t="s">
        <v>3169</v>
      </c>
      <c r="D4537" s="7" t="s">
        <v>3433</v>
      </c>
      <c r="E4537" s="7" t="str">
        <f>"李媒统"</f>
        <v>李媒统</v>
      </c>
      <c r="F4537" s="7" t="str">
        <f t="shared" ref="F4537:F4541" si="928">"女"</f>
        <v>女</v>
      </c>
      <c r="G4537" s="7" t="s">
        <v>3617</v>
      </c>
      <c r="H4537" s="8"/>
    </row>
    <row r="4538" ht="25" customHeight="1" spans="1:8">
      <c r="A4538" s="6">
        <v>4536</v>
      </c>
      <c r="B4538" s="7" t="str">
        <f t="shared" si="926"/>
        <v>607</v>
      </c>
      <c r="C4538" s="7" t="s">
        <v>3169</v>
      </c>
      <c r="D4538" s="7" t="s">
        <v>3433</v>
      </c>
      <c r="E4538" s="7" t="str">
        <f>"黄文怡"</f>
        <v>黄文怡</v>
      </c>
      <c r="F4538" s="7" t="str">
        <f t="shared" si="928"/>
        <v>女</v>
      </c>
      <c r="G4538" s="7" t="s">
        <v>3618</v>
      </c>
      <c r="H4538" s="8"/>
    </row>
    <row r="4539" ht="25" customHeight="1" spans="1:8">
      <c r="A4539" s="6">
        <v>4537</v>
      </c>
      <c r="B4539" s="7" t="str">
        <f t="shared" si="926"/>
        <v>607</v>
      </c>
      <c r="C4539" s="7" t="s">
        <v>3169</v>
      </c>
      <c r="D4539" s="7" t="s">
        <v>3433</v>
      </c>
      <c r="E4539" s="7" t="str">
        <f>"李霜"</f>
        <v>李霜</v>
      </c>
      <c r="F4539" s="7" t="str">
        <f t="shared" si="928"/>
        <v>女</v>
      </c>
      <c r="G4539" s="7" t="s">
        <v>3619</v>
      </c>
      <c r="H4539" s="8"/>
    </row>
    <row r="4540" ht="25" customHeight="1" spans="1:8">
      <c r="A4540" s="6">
        <v>4538</v>
      </c>
      <c r="B4540" s="7" t="str">
        <f t="shared" si="926"/>
        <v>607</v>
      </c>
      <c r="C4540" s="7" t="s">
        <v>3169</v>
      </c>
      <c r="D4540" s="7" t="s">
        <v>3433</v>
      </c>
      <c r="E4540" s="7" t="str">
        <f>"李阳坤"</f>
        <v>李阳坤</v>
      </c>
      <c r="F4540" s="7" t="str">
        <f t="shared" si="928"/>
        <v>女</v>
      </c>
      <c r="G4540" s="7" t="s">
        <v>3620</v>
      </c>
      <c r="H4540" s="8"/>
    </row>
    <row r="4541" ht="25" customHeight="1" spans="1:8">
      <c r="A4541" s="6">
        <v>4539</v>
      </c>
      <c r="B4541" s="7" t="str">
        <f t="shared" si="926"/>
        <v>607</v>
      </c>
      <c r="C4541" s="7" t="s">
        <v>3169</v>
      </c>
      <c r="D4541" s="7" t="s">
        <v>3433</v>
      </c>
      <c r="E4541" s="7" t="str">
        <f>"龙春蓉"</f>
        <v>龙春蓉</v>
      </c>
      <c r="F4541" s="7" t="str">
        <f t="shared" si="928"/>
        <v>女</v>
      </c>
      <c r="G4541" s="7" t="s">
        <v>3621</v>
      </c>
      <c r="H4541" s="8"/>
    </row>
    <row r="4542" ht="25" customHeight="1" spans="1:8">
      <c r="A4542" s="6">
        <v>4540</v>
      </c>
      <c r="B4542" s="7" t="str">
        <f t="shared" si="926"/>
        <v>607</v>
      </c>
      <c r="C4542" s="7" t="s">
        <v>3169</v>
      </c>
      <c r="D4542" s="7" t="s">
        <v>3433</v>
      </c>
      <c r="E4542" s="7" t="str">
        <f>"吴宏宇"</f>
        <v>吴宏宇</v>
      </c>
      <c r="F4542" s="7" t="str">
        <f>"男"</f>
        <v>男</v>
      </c>
      <c r="G4542" s="7" t="s">
        <v>3622</v>
      </c>
      <c r="H4542" s="8"/>
    </row>
    <row r="4543" ht="25" customHeight="1" spans="1:8">
      <c r="A4543" s="6">
        <v>4541</v>
      </c>
      <c r="B4543" s="7" t="str">
        <f t="shared" si="926"/>
        <v>607</v>
      </c>
      <c r="C4543" s="7" t="s">
        <v>3169</v>
      </c>
      <c r="D4543" s="7" t="s">
        <v>3433</v>
      </c>
      <c r="E4543" s="7" t="str">
        <f>"高燕飘"</f>
        <v>高燕飘</v>
      </c>
      <c r="F4543" s="7" t="str">
        <f t="shared" ref="F4543:F4545" si="929">"女"</f>
        <v>女</v>
      </c>
      <c r="G4543" s="7" t="s">
        <v>3623</v>
      </c>
      <c r="H4543" s="8"/>
    </row>
    <row r="4544" ht="25" customHeight="1" spans="1:8">
      <c r="A4544" s="6">
        <v>4542</v>
      </c>
      <c r="B4544" s="7" t="str">
        <f t="shared" si="926"/>
        <v>607</v>
      </c>
      <c r="C4544" s="7" t="s">
        <v>3169</v>
      </c>
      <c r="D4544" s="7" t="s">
        <v>3433</v>
      </c>
      <c r="E4544" s="7" t="str">
        <f>"陆晶晶"</f>
        <v>陆晶晶</v>
      </c>
      <c r="F4544" s="7" t="str">
        <f t="shared" si="929"/>
        <v>女</v>
      </c>
      <c r="G4544" s="7" t="s">
        <v>3624</v>
      </c>
      <c r="H4544" s="8"/>
    </row>
    <row r="4545" ht="25" customHeight="1" spans="1:8">
      <c r="A4545" s="6">
        <v>4543</v>
      </c>
      <c r="B4545" s="7" t="str">
        <f t="shared" si="926"/>
        <v>607</v>
      </c>
      <c r="C4545" s="7" t="s">
        <v>3169</v>
      </c>
      <c r="D4545" s="7" t="s">
        <v>3433</v>
      </c>
      <c r="E4545" s="7" t="str">
        <f>"段丽萍"</f>
        <v>段丽萍</v>
      </c>
      <c r="F4545" s="7" t="str">
        <f t="shared" si="929"/>
        <v>女</v>
      </c>
      <c r="G4545" s="7" t="s">
        <v>3625</v>
      </c>
      <c r="H4545" s="8"/>
    </row>
    <row r="4546" ht="25" customHeight="1" spans="1:8">
      <c r="A4546" s="6">
        <v>4544</v>
      </c>
      <c r="B4546" s="7" t="str">
        <f t="shared" si="926"/>
        <v>607</v>
      </c>
      <c r="C4546" s="7" t="s">
        <v>3169</v>
      </c>
      <c r="D4546" s="7" t="s">
        <v>3433</v>
      </c>
      <c r="E4546" s="7" t="str">
        <f>"陈汕"</f>
        <v>陈汕</v>
      </c>
      <c r="F4546" s="7" t="str">
        <f>"男"</f>
        <v>男</v>
      </c>
      <c r="G4546" s="7" t="s">
        <v>3626</v>
      </c>
      <c r="H4546" s="8"/>
    </row>
    <row r="4547" ht="25" customHeight="1" spans="1:8">
      <c r="A4547" s="6">
        <v>4545</v>
      </c>
      <c r="B4547" s="7" t="str">
        <f t="shared" si="926"/>
        <v>607</v>
      </c>
      <c r="C4547" s="7" t="s">
        <v>3169</v>
      </c>
      <c r="D4547" s="7" t="s">
        <v>3433</v>
      </c>
      <c r="E4547" s="7" t="str">
        <f>"胡芦荟"</f>
        <v>胡芦荟</v>
      </c>
      <c r="F4547" s="7" t="str">
        <f t="shared" ref="F4547:F4554" si="930">"女"</f>
        <v>女</v>
      </c>
      <c r="G4547" s="7" t="s">
        <v>3627</v>
      </c>
      <c r="H4547" s="8"/>
    </row>
    <row r="4548" ht="25" customHeight="1" spans="1:8">
      <c r="A4548" s="6">
        <v>4546</v>
      </c>
      <c r="B4548" s="7" t="str">
        <f t="shared" si="926"/>
        <v>607</v>
      </c>
      <c r="C4548" s="7" t="s">
        <v>3169</v>
      </c>
      <c r="D4548" s="7" t="s">
        <v>3433</v>
      </c>
      <c r="E4548" s="7" t="str">
        <f>"王精雨"</f>
        <v>王精雨</v>
      </c>
      <c r="F4548" s="7" t="str">
        <f t="shared" si="930"/>
        <v>女</v>
      </c>
      <c r="G4548" s="7" t="s">
        <v>3628</v>
      </c>
      <c r="H4548" s="8"/>
    </row>
    <row r="4549" ht="25" customHeight="1" spans="1:8">
      <c r="A4549" s="6">
        <v>4547</v>
      </c>
      <c r="B4549" s="7" t="str">
        <f t="shared" si="926"/>
        <v>607</v>
      </c>
      <c r="C4549" s="7" t="s">
        <v>3169</v>
      </c>
      <c r="D4549" s="7" t="s">
        <v>3433</v>
      </c>
      <c r="E4549" s="7" t="str">
        <f>"吴倩倩"</f>
        <v>吴倩倩</v>
      </c>
      <c r="F4549" s="7" t="str">
        <f t="shared" si="930"/>
        <v>女</v>
      </c>
      <c r="G4549" s="7" t="s">
        <v>1792</v>
      </c>
      <c r="H4549" s="8"/>
    </row>
    <row r="4550" ht="25" customHeight="1" spans="1:8">
      <c r="A4550" s="6">
        <v>4548</v>
      </c>
      <c r="B4550" s="7" t="str">
        <f t="shared" si="926"/>
        <v>607</v>
      </c>
      <c r="C4550" s="7" t="s">
        <v>3169</v>
      </c>
      <c r="D4550" s="7" t="s">
        <v>3433</v>
      </c>
      <c r="E4550" s="7" t="str">
        <f>"王慧"</f>
        <v>王慧</v>
      </c>
      <c r="F4550" s="7" t="str">
        <f t="shared" si="930"/>
        <v>女</v>
      </c>
      <c r="G4550" s="7" t="s">
        <v>3629</v>
      </c>
      <c r="H4550" s="8"/>
    </row>
    <row r="4551" ht="25" customHeight="1" spans="1:8">
      <c r="A4551" s="6">
        <v>4549</v>
      </c>
      <c r="B4551" s="7" t="str">
        <f t="shared" si="926"/>
        <v>607</v>
      </c>
      <c r="C4551" s="7" t="s">
        <v>3169</v>
      </c>
      <c r="D4551" s="7" t="s">
        <v>3433</v>
      </c>
      <c r="E4551" s="7" t="str">
        <f>"黄柳"</f>
        <v>黄柳</v>
      </c>
      <c r="F4551" s="7" t="str">
        <f t="shared" si="930"/>
        <v>女</v>
      </c>
      <c r="G4551" s="7" t="s">
        <v>3630</v>
      </c>
      <c r="H4551" s="8"/>
    </row>
    <row r="4552" ht="25" customHeight="1" spans="1:8">
      <c r="A4552" s="6">
        <v>4550</v>
      </c>
      <c r="B4552" s="7" t="str">
        <f t="shared" si="926"/>
        <v>607</v>
      </c>
      <c r="C4552" s="7" t="s">
        <v>3169</v>
      </c>
      <c r="D4552" s="7" t="s">
        <v>3433</v>
      </c>
      <c r="E4552" s="7" t="str">
        <f>"廖妙霞"</f>
        <v>廖妙霞</v>
      </c>
      <c r="F4552" s="7" t="str">
        <f t="shared" si="930"/>
        <v>女</v>
      </c>
      <c r="G4552" s="7" t="s">
        <v>3631</v>
      </c>
      <c r="H4552" s="8"/>
    </row>
    <row r="4553" ht="25" customHeight="1" spans="1:8">
      <c r="A4553" s="6">
        <v>4551</v>
      </c>
      <c r="B4553" s="7" t="str">
        <f t="shared" si="926"/>
        <v>607</v>
      </c>
      <c r="C4553" s="7" t="s">
        <v>3169</v>
      </c>
      <c r="D4553" s="7" t="s">
        <v>3433</v>
      </c>
      <c r="E4553" s="7" t="str">
        <f>"薛蔚"</f>
        <v>薛蔚</v>
      </c>
      <c r="F4553" s="7" t="str">
        <f t="shared" si="930"/>
        <v>女</v>
      </c>
      <c r="G4553" s="7" t="s">
        <v>3632</v>
      </c>
      <c r="H4553" s="8"/>
    </row>
    <row r="4554" ht="25" customHeight="1" spans="1:8">
      <c r="A4554" s="6">
        <v>4552</v>
      </c>
      <c r="B4554" s="7" t="str">
        <f t="shared" si="926"/>
        <v>607</v>
      </c>
      <c r="C4554" s="7" t="s">
        <v>3169</v>
      </c>
      <c r="D4554" s="7" t="s">
        <v>3433</v>
      </c>
      <c r="E4554" s="7" t="str">
        <f>"谭兴婷"</f>
        <v>谭兴婷</v>
      </c>
      <c r="F4554" s="7" t="str">
        <f t="shared" si="930"/>
        <v>女</v>
      </c>
      <c r="G4554" s="7" t="s">
        <v>3633</v>
      </c>
      <c r="H4554" s="8"/>
    </row>
    <row r="4555" ht="25" customHeight="1" spans="1:8">
      <c r="A4555" s="6">
        <v>4553</v>
      </c>
      <c r="B4555" s="7" t="str">
        <f t="shared" si="926"/>
        <v>607</v>
      </c>
      <c r="C4555" s="7" t="s">
        <v>3169</v>
      </c>
      <c r="D4555" s="7" t="s">
        <v>3433</v>
      </c>
      <c r="E4555" s="7" t="str">
        <f>"王祥"</f>
        <v>王祥</v>
      </c>
      <c r="F4555" s="7" t="str">
        <f t="shared" ref="F4555:F4558" si="931">"男"</f>
        <v>男</v>
      </c>
      <c r="G4555" s="7" t="s">
        <v>3634</v>
      </c>
      <c r="H4555" s="8"/>
    </row>
    <row r="4556" ht="25" customHeight="1" spans="1:8">
      <c r="A4556" s="6">
        <v>4554</v>
      </c>
      <c r="B4556" s="7" t="str">
        <f t="shared" si="926"/>
        <v>607</v>
      </c>
      <c r="C4556" s="7" t="s">
        <v>3169</v>
      </c>
      <c r="D4556" s="7" t="s">
        <v>3433</v>
      </c>
      <c r="E4556" s="7" t="str">
        <f>"陈东丽"</f>
        <v>陈东丽</v>
      </c>
      <c r="F4556" s="7" t="str">
        <f t="shared" ref="F4556:F4568" si="932">"女"</f>
        <v>女</v>
      </c>
      <c r="G4556" s="7" t="s">
        <v>580</v>
      </c>
      <c r="H4556" s="8"/>
    </row>
    <row r="4557" ht="25" customHeight="1" spans="1:8">
      <c r="A4557" s="6">
        <v>4555</v>
      </c>
      <c r="B4557" s="7" t="str">
        <f t="shared" si="926"/>
        <v>607</v>
      </c>
      <c r="C4557" s="7" t="s">
        <v>3169</v>
      </c>
      <c r="D4557" s="7" t="s">
        <v>3433</v>
      </c>
      <c r="E4557" s="7" t="str">
        <f>"王之成"</f>
        <v>王之成</v>
      </c>
      <c r="F4557" s="7" t="str">
        <f t="shared" si="931"/>
        <v>男</v>
      </c>
      <c r="G4557" s="7" t="s">
        <v>3635</v>
      </c>
      <c r="H4557" s="8"/>
    </row>
    <row r="4558" ht="25" customHeight="1" spans="1:8">
      <c r="A4558" s="6">
        <v>4556</v>
      </c>
      <c r="B4558" s="7" t="str">
        <f t="shared" si="926"/>
        <v>607</v>
      </c>
      <c r="C4558" s="7" t="s">
        <v>3169</v>
      </c>
      <c r="D4558" s="7" t="s">
        <v>3433</v>
      </c>
      <c r="E4558" s="7" t="str">
        <f>"吴盛"</f>
        <v>吴盛</v>
      </c>
      <c r="F4558" s="7" t="str">
        <f t="shared" si="931"/>
        <v>男</v>
      </c>
      <c r="G4558" s="7" t="s">
        <v>1411</v>
      </c>
      <c r="H4558" s="8"/>
    </row>
    <row r="4559" ht="25" customHeight="1" spans="1:8">
      <c r="A4559" s="6">
        <v>4557</v>
      </c>
      <c r="B4559" s="7" t="str">
        <f t="shared" si="926"/>
        <v>607</v>
      </c>
      <c r="C4559" s="7" t="s">
        <v>3169</v>
      </c>
      <c r="D4559" s="7" t="s">
        <v>3433</v>
      </c>
      <c r="E4559" s="7" t="str">
        <f>"卢佳佳"</f>
        <v>卢佳佳</v>
      </c>
      <c r="F4559" s="7" t="str">
        <f t="shared" si="932"/>
        <v>女</v>
      </c>
      <c r="G4559" s="7" t="s">
        <v>3636</v>
      </c>
      <c r="H4559" s="8"/>
    </row>
    <row r="4560" ht="25" customHeight="1" spans="1:8">
      <c r="A4560" s="6">
        <v>4558</v>
      </c>
      <c r="B4560" s="7" t="str">
        <f t="shared" si="926"/>
        <v>607</v>
      </c>
      <c r="C4560" s="7" t="s">
        <v>3169</v>
      </c>
      <c r="D4560" s="7" t="s">
        <v>3433</v>
      </c>
      <c r="E4560" s="7" t="str">
        <f>"刘启娜"</f>
        <v>刘启娜</v>
      </c>
      <c r="F4560" s="7" t="str">
        <f t="shared" si="932"/>
        <v>女</v>
      </c>
      <c r="G4560" s="7" t="s">
        <v>2953</v>
      </c>
      <c r="H4560" s="8"/>
    </row>
    <row r="4561" ht="25" customHeight="1" spans="1:8">
      <c r="A4561" s="6">
        <v>4559</v>
      </c>
      <c r="B4561" s="7" t="str">
        <f t="shared" si="926"/>
        <v>607</v>
      </c>
      <c r="C4561" s="7" t="s">
        <v>3169</v>
      </c>
      <c r="D4561" s="7" t="s">
        <v>3433</v>
      </c>
      <c r="E4561" s="7" t="str">
        <f>"董乐幸"</f>
        <v>董乐幸</v>
      </c>
      <c r="F4561" s="7" t="str">
        <f t="shared" si="932"/>
        <v>女</v>
      </c>
      <c r="G4561" s="7" t="s">
        <v>282</v>
      </c>
      <c r="H4561" s="8"/>
    </row>
    <row r="4562" ht="25" customHeight="1" spans="1:8">
      <c r="A4562" s="6">
        <v>4560</v>
      </c>
      <c r="B4562" s="7" t="str">
        <f t="shared" si="926"/>
        <v>607</v>
      </c>
      <c r="C4562" s="7" t="s">
        <v>3169</v>
      </c>
      <c r="D4562" s="7" t="s">
        <v>3433</v>
      </c>
      <c r="E4562" s="7" t="str">
        <f>"赵金凤"</f>
        <v>赵金凤</v>
      </c>
      <c r="F4562" s="7" t="str">
        <f t="shared" si="932"/>
        <v>女</v>
      </c>
      <c r="G4562" s="7" t="s">
        <v>3637</v>
      </c>
      <c r="H4562" s="8"/>
    </row>
    <row r="4563" ht="25" customHeight="1" spans="1:8">
      <c r="A4563" s="6">
        <v>4561</v>
      </c>
      <c r="B4563" s="7" t="str">
        <f t="shared" si="926"/>
        <v>607</v>
      </c>
      <c r="C4563" s="7" t="s">
        <v>3169</v>
      </c>
      <c r="D4563" s="7" t="s">
        <v>3433</v>
      </c>
      <c r="E4563" s="7" t="str">
        <f>"林振君"</f>
        <v>林振君</v>
      </c>
      <c r="F4563" s="7" t="str">
        <f t="shared" si="932"/>
        <v>女</v>
      </c>
      <c r="G4563" s="7" t="s">
        <v>1440</v>
      </c>
      <c r="H4563" s="8"/>
    </row>
    <row r="4564" ht="25" customHeight="1" spans="1:8">
      <c r="A4564" s="6">
        <v>4562</v>
      </c>
      <c r="B4564" s="7" t="str">
        <f t="shared" si="926"/>
        <v>607</v>
      </c>
      <c r="C4564" s="7" t="s">
        <v>3169</v>
      </c>
      <c r="D4564" s="7" t="s">
        <v>3433</v>
      </c>
      <c r="E4564" s="7" t="str">
        <f>"杨航艳"</f>
        <v>杨航艳</v>
      </c>
      <c r="F4564" s="7" t="str">
        <f t="shared" si="932"/>
        <v>女</v>
      </c>
      <c r="G4564" s="7" t="s">
        <v>3638</v>
      </c>
      <c r="H4564" s="8"/>
    </row>
    <row r="4565" ht="25" customHeight="1" spans="1:8">
      <c r="A4565" s="6">
        <v>4563</v>
      </c>
      <c r="B4565" s="7" t="str">
        <f t="shared" si="926"/>
        <v>607</v>
      </c>
      <c r="C4565" s="7" t="s">
        <v>3169</v>
      </c>
      <c r="D4565" s="7" t="s">
        <v>3433</v>
      </c>
      <c r="E4565" s="7" t="str">
        <f>"陈余虹"</f>
        <v>陈余虹</v>
      </c>
      <c r="F4565" s="7" t="str">
        <f t="shared" si="932"/>
        <v>女</v>
      </c>
      <c r="G4565" s="7" t="s">
        <v>1450</v>
      </c>
      <c r="H4565" s="8"/>
    </row>
    <row r="4566" ht="25" customHeight="1" spans="1:8">
      <c r="A4566" s="6">
        <v>4564</v>
      </c>
      <c r="B4566" s="7" t="str">
        <f t="shared" si="926"/>
        <v>607</v>
      </c>
      <c r="C4566" s="7" t="s">
        <v>3169</v>
      </c>
      <c r="D4566" s="7" t="s">
        <v>3433</v>
      </c>
      <c r="E4566" s="7" t="str">
        <f>"符晓灵"</f>
        <v>符晓灵</v>
      </c>
      <c r="F4566" s="7" t="str">
        <f t="shared" si="932"/>
        <v>女</v>
      </c>
      <c r="G4566" s="7" t="s">
        <v>209</v>
      </c>
      <c r="H4566" s="8"/>
    </row>
    <row r="4567" ht="25" customHeight="1" spans="1:8">
      <c r="A4567" s="6">
        <v>4565</v>
      </c>
      <c r="B4567" s="7" t="str">
        <f t="shared" si="926"/>
        <v>607</v>
      </c>
      <c r="C4567" s="7" t="s">
        <v>3169</v>
      </c>
      <c r="D4567" s="7" t="s">
        <v>3433</v>
      </c>
      <c r="E4567" s="7" t="str">
        <f>"陈乔榆"</f>
        <v>陈乔榆</v>
      </c>
      <c r="F4567" s="7" t="str">
        <f t="shared" si="932"/>
        <v>女</v>
      </c>
      <c r="G4567" s="7" t="s">
        <v>2507</v>
      </c>
      <c r="H4567" s="8"/>
    </row>
    <row r="4568" ht="25" customHeight="1" spans="1:8">
      <c r="A4568" s="6">
        <v>4566</v>
      </c>
      <c r="B4568" s="7" t="str">
        <f t="shared" si="926"/>
        <v>607</v>
      </c>
      <c r="C4568" s="7" t="s">
        <v>3169</v>
      </c>
      <c r="D4568" s="7" t="s">
        <v>3433</v>
      </c>
      <c r="E4568" s="7" t="str">
        <f>"苏丽云"</f>
        <v>苏丽云</v>
      </c>
      <c r="F4568" s="7" t="str">
        <f t="shared" si="932"/>
        <v>女</v>
      </c>
      <c r="G4568" s="7" t="s">
        <v>581</v>
      </c>
      <c r="H4568" s="8"/>
    </row>
    <row r="4569" ht="25" customHeight="1" spans="1:8">
      <c r="A4569" s="6">
        <v>4567</v>
      </c>
      <c r="B4569" s="7" t="str">
        <f t="shared" si="926"/>
        <v>607</v>
      </c>
      <c r="C4569" s="7" t="s">
        <v>3169</v>
      </c>
      <c r="D4569" s="7" t="s">
        <v>3433</v>
      </c>
      <c r="E4569" s="7" t="str">
        <f>"陈朝龙"</f>
        <v>陈朝龙</v>
      </c>
      <c r="F4569" s="7" t="str">
        <f>"男"</f>
        <v>男</v>
      </c>
      <c r="G4569" s="7" t="s">
        <v>3174</v>
      </c>
      <c r="H4569" s="8"/>
    </row>
    <row r="4570" ht="25" customHeight="1" spans="1:8">
      <c r="A4570" s="6">
        <v>4568</v>
      </c>
      <c r="B4570" s="7" t="str">
        <f t="shared" si="926"/>
        <v>607</v>
      </c>
      <c r="C4570" s="7" t="s">
        <v>3169</v>
      </c>
      <c r="D4570" s="7" t="s">
        <v>3433</v>
      </c>
      <c r="E4570" s="7" t="str">
        <f>"林香"</f>
        <v>林香</v>
      </c>
      <c r="F4570" s="7" t="str">
        <f t="shared" ref="F4570:F4576" si="933">"女"</f>
        <v>女</v>
      </c>
      <c r="G4570" s="7" t="s">
        <v>3639</v>
      </c>
      <c r="H4570" s="8"/>
    </row>
    <row r="4571" ht="25" customHeight="1" spans="1:8">
      <c r="A4571" s="6">
        <v>4569</v>
      </c>
      <c r="B4571" s="7" t="str">
        <f t="shared" si="926"/>
        <v>607</v>
      </c>
      <c r="C4571" s="7" t="s">
        <v>3169</v>
      </c>
      <c r="D4571" s="7" t="s">
        <v>3433</v>
      </c>
      <c r="E4571" s="7" t="str">
        <f>"陈玉湲"</f>
        <v>陈玉湲</v>
      </c>
      <c r="F4571" s="7" t="str">
        <f t="shared" si="933"/>
        <v>女</v>
      </c>
      <c r="G4571" s="7" t="s">
        <v>898</v>
      </c>
      <c r="H4571" s="8"/>
    </row>
    <row r="4572" ht="25" customHeight="1" spans="1:8">
      <c r="A4572" s="6">
        <v>4570</v>
      </c>
      <c r="B4572" s="7" t="str">
        <f t="shared" si="926"/>
        <v>607</v>
      </c>
      <c r="C4572" s="7" t="s">
        <v>3169</v>
      </c>
      <c r="D4572" s="7" t="s">
        <v>3433</v>
      </c>
      <c r="E4572" s="7" t="str">
        <f>"郑庭妹"</f>
        <v>郑庭妹</v>
      </c>
      <c r="F4572" s="7" t="str">
        <f t="shared" si="933"/>
        <v>女</v>
      </c>
      <c r="G4572" s="7" t="s">
        <v>3640</v>
      </c>
      <c r="H4572" s="8"/>
    </row>
    <row r="4573" ht="25" customHeight="1" spans="1:8">
      <c r="A4573" s="6">
        <v>4571</v>
      </c>
      <c r="B4573" s="7" t="str">
        <f t="shared" si="926"/>
        <v>607</v>
      </c>
      <c r="C4573" s="7" t="s">
        <v>3169</v>
      </c>
      <c r="D4573" s="7" t="s">
        <v>3433</v>
      </c>
      <c r="E4573" s="7" t="str">
        <f>"陈秀珠"</f>
        <v>陈秀珠</v>
      </c>
      <c r="F4573" s="7" t="str">
        <f t="shared" si="933"/>
        <v>女</v>
      </c>
      <c r="G4573" s="7" t="s">
        <v>3641</v>
      </c>
      <c r="H4573" s="8"/>
    </row>
    <row r="4574" ht="25" customHeight="1" spans="1:8">
      <c r="A4574" s="6">
        <v>4572</v>
      </c>
      <c r="B4574" s="7" t="str">
        <f t="shared" si="926"/>
        <v>607</v>
      </c>
      <c r="C4574" s="7" t="s">
        <v>3169</v>
      </c>
      <c r="D4574" s="7" t="s">
        <v>3433</v>
      </c>
      <c r="E4574" s="7" t="str">
        <f>"黄真莉"</f>
        <v>黄真莉</v>
      </c>
      <c r="F4574" s="7" t="str">
        <f t="shared" si="933"/>
        <v>女</v>
      </c>
      <c r="G4574" s="7" t="s">
        <v>3642</v>
      </c>
      <c r="H4574" s="8"/>
    </row>
    <row r="4575" ht="25" customHeight="1" spans="1:8">
      <c r="A4575" s="6">
        <v>4573</v>
      </c>
      <c r="B4575" s="7" t="str">
        <f t="shared" si="926"/>
        <v>607</v>
      </c>
      <c r="C4575" s="7" t="s">
        <v>3169</v>
      </c>
      <c r="D4575" s="7" t="s">
        <v>3433</v>
      </c>
      <c r="E4575" s="7" t="str">
        <f>"卓小斐"</f>
        <v>卓小斐</v>
      </c>
      <c r="F4575" s="7" t="str">
        <f t="shared" si="933"/>
        <v>女</v>
      </c>
      <c r="G4575" s="7" t="s">
        <v>3643</v>
      </c>
      <c r="H4575" s="8"/>
    </row>
    <row r="4576" ht="25" customHeight="1" spans="1:8">
      <c r="A4576" s="6">
        <v>4574</v>
      </c>
      <c r="B4576" s="7" t="str">
        <f t="shared" si="926"/>
        <v>607</v>
      </c>
      <c r="C4576" s="7" t="s">
        <v>3169</v>
      </c>
      <c r="D4576" s="7" t="s">
        <v>3433</v>
      </c>
      <c r="E4576" s="7" t="str">
        <f>"杨濡励"</f>
        <v>杨濡励</v>
      </c>
      <c r="F4576" s="7" t="str">
        <f t="shared" si="933"/>
        <v>女</v>
      </c>
      <c r="G4576" s="7" t="s">
        <v>3644</v>
      </c>
      <c r="H4576" s="8"/>
    </row>
    <row r="4577" ht="25" customHeight="1" spans="1:8">
      <c r="A4577" s="6">
        <v>4575</v>
      </c>
      <c r="B4577" s="7" t="str">
        <f t="shared" ref="B4577:B4640" si="934">"701"</f>
        <v>701</v>
      </c>
      <c r="C4577" s="7" t="s">
        <v>3645</v>
      </c>
      <c r="D4577" s="7" t="s">
        <v>3646</v>
      </c>
      <c r="E4577" s="7" t="str">
        <f>"符涛"</f>
        <v>符涛</v>
      </c>
      <c r="F4577" s="7" t="str">
        <f t="shared" ref="F4577:F4582" si="935">"男"</f>
        <v>男</v>
      </c>
      <c r="G4577" s="7" t="s">
        <v>2502</v>
      </c>
      <c r="H4577" s="8"/>
    </row>
    <row r="4578" ht="25" customHeight="1" spans="1:8">
      <c r="A4578" s="6">
        <v>4576</v>
      </c>
      <c r="B4578" s="7" t="str">
        <f t="shared" si="934"/>
        <v>701</v>
      </c>
      <c r="C4578" s="7" t="s">
        <v>3645</v>
      </c>
      <c r="D4578" s="7" t="s">
        <v>3646</v>
      </c>
      <c r="E4578" s="7" t="str">
        <f>"陈法警"</f>
        <v>陈法警</v>
      </c>
      <c r="F4578" s="7" t="str">
        <f t="shared" si="935"/>
        <v>男</v>
      </c>
      <c r="G4578" s="7" t="s">
        <v>3647</v>
      </c>
      <c r="H4578" s="8"/>
    </row>
    <row r="4579" ht="25" customHeight="1" spans="1:8">
      <c r="A4579" s="6">
        <v>4577</v>
      </c>
      <c r="B4579" s="7" t="str">
        <f t="shared" si="934"/>
        <v>701</v>
      </c>
      <c r="C4579" s="7" t="s">
        <v>3645</v>
      </c>
      <c r="D4579" s="7" t="s">
        <v>3646</v>
      </c>
      <c r="E4579" s="7" t="str">
        <f>"陈昌智"</f>
        <v>陈昌智</v>
      </c>
      <c r="F4579" s="7" t="str">
        <f t="shared" si="935"/>
        <v>男</v>
      </c>
      <c r="G4579" s="7" t="s">
        <v>2493</v>
      </c>
      <c r="H4579" s="8"/>
    </row>
    <row r="4580" ht="25" customHeight="1" spans="1:8">
      <c r="A4580" s="6">
        <v>4578</v>
      </c>
      <c r="B4580" s="7" t="str">
        <f t="shared" si="934"/>
        <v>701</v>
      </c>
      <c r="C4580" s="7" t="s">
        <v>3645</v>
      </c>
      <c r="D4580" s="7" t="s">
        <v>3646</v>
      </c>
      <c r="E4580" s="7" t="str">
        <f>"孙伟晋"</f>
        <v>孙伟晋</v>
      </c>
      <c r="F4580" s="7" t="str">
        <f t="shared" si="935"/>
        <v>男</v>
      </c>
      <c r="G4580" s="7" t="s">
        <v>3648</v>
      </c>
      <c r="H4580" s="8"/>
    </row>
    <row r="4581" ht="25" customHeight="1" spans="1:8">
      <c r="A4581" s="6">
        <v>4579</v>
      </c>
      <c r="B4581" s="7" t="str">
        <f t="shared" si="934"/>
        <v>701</v>
      </c>
      <c r="C4581" s="7" t="s">
        <v>3645</v>
      </c>
      <c r="D4581" s="7" t="s">
        <v>3646</v>
      </c>
      <c r="E4581" s="7" t="str">
        <f>"谭德胜"</f>
        <v>谭德胜</v>
      </c>
      <c r="F4581" s="7" t="str">
        <f t="shared" si="935"/>
        <v>男</v>
      </c>
      <c r="G4581" s="7" t="s">
        <v>3649</v>
      </c>
      <c r="H4581" s="8"/>
    </row>
    <row r="4582" ht="25" customHeight="1" spans="1:8">
      <c r="A4582" s="6">
        <v>4580</v>
      </c>
      <c r="B4582" s="7" t="str">
        <f t="shared" si="934"/>
        <v>701</v>
      </c>
      <c r="C4582" s="7" t="s">
        <v>3645</v>
      </c>
      <c r="D4582" s="7" t="s">
        <v>3646</v>
      </c>
      <c r="E4582" s="7" t="str">
        <f>"綦熠安"</f>
        <v>綦熠安</v>
      </c>
      <c r="F4582" s="7" t="str">
        <f t="shared" si="935"/>
        <v>男</v>
      </c>
      <c r="G4582" s="7" t="s">
        <v>3650</v>
      </c>
      <c r="H4582" s="8"/>
    </row>
    <row r="4583" ht="25" customHeight="1" spans="1:8">
      <c r="A4583" s="6">
        <v>4581</v>
      </c>
      <c r="B4583" s="7" t="str">
        <f t="shared" si="934"/>
        <v>701</v>
      </c>
      <c r="C4583" s="7" t="s">
        <v>3645</v>
      </c>
      <c r="D4583" s="7" t="s">
        <v>3646</v>
      </c>
      <c r="E4583" s="7" t="str">
        <f>"刘昭昭"</f>
        <v>刘昭昭</v>
      </c>
      <c r="F4583" s="7" t="str">
        <f t="shared" ref="F4583:F4587" si="936">"女"</f>
        <v>女</v>
      </c>
      <c r="G4583" s="7" t="s">
        <v>2474</v>
      </c>
      <c r="H4583" s="8"/>
    </row>
    <row r="4584" ht="25" customHeight="1" spans="1:8">
      <c r="A4584" s="6">
        <v>4582</v>
      </c>
      <c r="B4584" s="7" t="str">
        <f t="shared" si="934"/>
        <v>701</v>
      </c>
      <c r="C4584" s="7" t="s">
        <v>3645</v>
      </c>
      <c r="D4584" s="7" t="s">
        <v>3646</v>
      </c>
      <c r="E4584" s="7" t="str">
        <f>"黄夏琳"</f>
        <v>黄夏琳</v>
      </c>
      <c r="F4584" s="7" t="str">
        <f t="shared" si="936"/>
        <v>女</v>
      </c>
      <c r="G4584" s="7" t="s">
        <v>3651</v>
      </c>
      <c r="H4584" s="8"/>
    </row>
    <row r="4585" ht="25" customHeight="1" spans="1:8">
      <c r="A4585" s="6">
        <v>4583</v>
      </c>
      <c r="B4585" s="7" t="str">
        <f t="shared" si="934"/>
        <v>701</v>
      </c>
      <c r="C4585" s="7" t="s">
        <v>3645</v>
      </c>
      <c r="D4585" s="7" t="s">
        <v>3646</v>
      </c>
      <c r="E4585" s="7" t="str">
        <f>"符海交"</f>
        <v>符海交</v>
      </c>
      <c r="F4585" s="7" t="str">
        <f t="shared" si="936"/>
        <v>女</v>
      </c>
      <c r="G4585" s="7" t="s">
        <v>3652</v>
      </c>
      <c r="H4585" s="8"/>
    </row>
    <row r="4586" ht="25" customHeight="1" spans="1:8">
      <c r="A4586" s="6">
        <v>4584</v>
      </c>
      <c r="B4586" s="7" t="str">
        <f t="shared" si="934"/>
        <v>701</v>
      </c>
      <c r="C4586" s="7" t="s">
        <v>3645</v>
      </c>
      <c r="D4586" s="7" t="s">
        <v>3646</v>
      </c>
      <c r="E4586" s="7" t="str">
        <f>"胡佳荟"</f>
        <v>胡佳荟</v>
      </c>
      <c r="F4586" s="7" t="str">
        <f t="shared" si="936"/>
        <v>女</v>
      </c>
      <c r="G4586" s="7" t="s">
        <v>3653</v>
      </c>
      <c r="H4586" s="8"/>
    </row>
    <row r="4587" ht="25" customHeight="1" spans="1:8">
      <c r="A4587" s="6">
        <v>4585</v>
      </c>
      <c r="B4587" s="7" t="str">
        <f t="shared" si="934"/>
        <v>701</v>
      </c>
      <c r="C4587" s="7" t="s">
        <v>3645</v>
      </c>
      <c r="D4587" s="7" t="s">
        <v>3646</v>
      </c>
      <c r="E4587" s="7" t="str">
        <f>"张万"</f>
        <v>张万</v>
      </c>
      <c r="F4587" s="7" t="str">
        <f t="shared" si="936"/>
        <v>女</v>
      </c>
      <c r="G4587" s="7" t="s">
        <v>3654</v>
      </c>
      <c r="H4587" s="8"/>
    </row>
    <row r="4588" ht="25" customHeight="1" spans="1:8">
      <c r="A4588" s="6">
        <v>4586</v>
      </c>
      <c r="B4588" s="7" t="str">
        <f t="shared" si="934"/>
        <v>701</v>
      </c>
      <c r="C4588" s="7" t="s">
        <v>3645</v>
      </c>
      <c r="D4588" s="7" t="s">
        <v>3646</v>
      </c>
      <c r="E4588" s="7" t="str">
        <f>"胡冉"</f>
        <v>胡冉</v>
      </c>
      <c r="F4588" s="7" t="str">
        <f t="shared" ref="F4588:F4596" si="937">"男"</f>
        <v>男</v>
      </c>
      <c r="G4588" s="7" t="s">
        <v>3655</v>
      </c>
      <c r="H4588" s="8"/>
    </row>
    <row r="4589" ht="25" customHeight="1" spans="1:8">
      <c r="A4589" s="6">
        <v>4587</v>
      </c>
      <c r="B4589" s="7" t="str">
        <f t="shared" si="934"/>
        <v>701</v>
      </c>
      <c r="C4589" s="7" t="s">
        <v>3645</v>
      </c>
      <c r="D4589" s="7" t="s">
        <v>3646</v>
      </c>
      <c r="E4589" s="7" t="str">
        <f>"符敏科"</f>
        <v>符敏科</v>
      </c>
      <c r="F4589" s="7" t="str">
        <f t="shared" si="937"/>
        <v>男</v>
      </c>
      <c r="G4589" s="7" t="s">
        <v>1226</v>
      </c>
      <c r="H4589" s="8"/>
    </row>
    <row r="4590" ht="25" customHeight="1" spans="1:8">
      <c r="A4590" s="6">
        <v>4588</v>
      </c>
      <c r="B4590" s="7" t="str">
        <f t="shared" si="934"/>
        <v>701</v>
      </c>
      <c r="C4590" s="7" t="s">
        <v>3645</v>
      </c>
      <c r="D4590" s="7" t="s">
        <v>3646</v>
      </c>
      <c r="E4590" s="7" t="str">
        <f>"何童逸"</f>
        <v>何童逸</v>
      </c>
      <c r="F4590" s="7" t="str">
        <f>"女"</f>
        <v>女</v>
      </c>
      <c r="G4590" s="7" t="s">
        <v>3656</v>
      </c>
      <c r="H4590" s="8"/>
    </row>
    <row r="4591" ht="25" customHeight="1" spans="1:8">
      <c r="A4591" s="6">
        <v>4589</v>
      </c>
      <c r="B4591" s="7" t="str">
        <f t="shared" si="934"/>
        <v>701</v>
      </c>
      <c r="C4591" s="7" t="s">
        <v>3645</v>
      </c>
      <c r="D4591" s="7" t="s">
        <v>3646</v>
      </c>
      <c r="E4591" s="7" t="str">
        <f>"张健"</f>
        <v>张健</v>
      </c>
      <c r="F4591" s="7" t="str">
        <f t="shared" si="937"/>
        <v>男</v>
      </c>
      <c r="G4591" s="7" t="s">
        <v>3657</v>
      </c>
      <c r="H4591" s="8"/>
    </row>
    <row r="4592" ht="25" customHeight="1" spans="1:8">
      <c r="A4592" s="6">
        <v>4590</v>
      </c>
      <c r="B4592" s="7" t="str">
        <f t="shared" si="934"/>
        <v>701</v>
      </c>
      <c r="C4592" s="7" t="s">
        <v>3645</v>
      </c>
      <c r="D4592" s="7" t="s">
        <v>3646</v>
      </c>
      <c r="E4592" s="7" t="str">
        <f>"卓子创"</f>
        <v>卓子创</v>
      </c>
      <c r="F4592" s="7" t="str">
        <f t="shared" si="937"/>
        <v>男</v>
      </c>
      <c r="G4592" s="7" t="s">
        <v>1016</v>
      </c>
      <c r="H4592" s="8"/>
    </row>
    <row r="4593" ht="25" customHeight="1" spans="1:8">
      <c r="A4593" s="6">
        <v>4591</v>
      </c>
      <c r="B4593" s="7" t="str">
        <f t="shared" si="934"/>
        <v>701</v>
      </c>
      <c r="C4593" s="7" t="s">
        <v>3645</v>
      </c>
      <c r="D4593" s="7" t="s">
        <v>3646</v>
      </c>
      <c r="E4593" s="7" t="str">
        <f>"王子杰"</f>
        <v>王子杰</v>
      </c>
      <c r="F4593" s="7" t="str">
        <f t="shared" si="937"/>
        <v>男</v>
      </c>
      <c r="G4593" s="7" t="s">
        <v>1169</v>
      </c>
      <c r="H4593" s="8"/>
    </row>
    <row r="4594" ht="25" customHeight="1" spans="1:8">
      <c r="A4594" s="6">
        <v>4592</v>
      </c>
      <c r="B4594" s="7" t="str">
        <f t="shared" si="934"/>
        <v>701</v>
      </c>
      <c r="C4594" s="7" t="s">
        <v>3645</v>
      </c>
      <c r="D4594" s="7" t="s">
        <v>3646</v>
      </c>
      <c r="E4594" s="7" t="str">
        <f>"陈颖文"</f>
        <v>陈颖文</v>
      </c>
      <c r="F4594" s="7" t="str">
        <f t="shared" si="937"/>
        <v>男</v>
      </c>
      <c r="G4594" s="7" t="s">
        <v>3658</v>
      </c>
      <c r="H4594" s="8"/>
    </row>
    <row r="4595" ht="25" customHeight="1" spans="1:8">
      <c r="A4595" s="6">
        <v>4593</v>
      </c>
      <c r="B4595" s="7" t="str">
        <f t="shared" si="934"/>
        <v>701</v>
      </c>
      <c r="C4595" s="7" t="s">
        <v>3645</v>
      </c>
      <c r="D4595" s="7" t="s">
        <v>3646</v>
      </c>
      <c r="E4595" s="7" t="str">
        <f>"王德千"</f>
        <v>王德千</v>
      </c>
      <c r="F4595" s="7" t="str">
        <f t="shared" si="937"/>
        <v>男</v>
      </c>
      <c r="G4595" s="7" t="s">
        <v>2188</v>
      </c>
      <c r="H4595" s="8"/>
    </row>
    <row r="4596" ht="25" customHeight="1" spans="1:8">
      <c r="A4596" s="6">
        <v>4594</v>
      </c>
      <c r="B4596" s="7" t="str">
        <f t="shared" si="934"/>
        <v>701</v>
      </c>
      <c r="C4596" s="7" t="s">
        <v>3645</v>
      </c>
      <c r="D4596" s="7" t="s">
        <v>3646</v>
      </c>
      <c r="E4596" s="7" t="str">
        <f>"周浩"</f>
        <v>周浩</v>
      </c>
      <c r="F4596" s="7" t="str">
        <f t="shared" si="937"/>
        <v>男</v>
      </c>
      <c r="G4596" s="7" t="s">
        <v>3659</v>
      </c>
      <c r="H4596" s="8"/>
    </row>
    <row r="4597" ht="25" customHeight="1" spans="1:8">
      <c r="A4597" s="6">
        <v>4595</v>
      </c>
      <c r="B4597" s="7" t="str">
        <f t="shared" si="934"/>
        <v>701</v>
      </c>
      <c r="C4597" s="7" t="s">
        <v>3645</v>
      </c>
      <c r="D4597" s="7" t="s">
        <v>3646</v>
      </c>
      <c r="E4597" s="7" t="str">
        <f>"李薇薇"</f>
        <v>李薇薇</v>
      </c>
      <c r="F4597" s="7" t="str">
        <f t="shared" ref="F4597:F4602" si="938">"女"</f>
        <v>女</v>
      </c>
      <c r="G4597" s="7" t="s">
        <v>3660</v>
      </c>
      <c r="H4597" s="8"/>
    </row>
    <row r="4598" ht="25" customHeight="1" spans="1:8">
      <c r="A4598" s="6">
        <v>4596</v>
      </c>
      <c r="B4598" s="7" t="str">
        <f t="shared" si="934"/>
        <v>701</v>
      </c>
      <c r="C4598" s="7" t="s">
        <v>3645</v>
      </c>
      <c r="D4598" s="7" t="s">
        <v>3646</v>
      </c>
      <c r="E4598" s="7" t="str">
        <f>"云惟伦"</f>
        <v>云惟伦</v>
      </c>
      <c r="F4598" s="7" t="str">
        <f t="shared" ref="F4598:F4601" si="939">"男"</f>
        <v>男</v>
      </c>
      <c r="G4598" s="7" t="s">
        <v>1370</v>
      </c>
      <c r="H4598" s="8"/>
    </row>
    <row r="4599" ht="25" customHeight="1" spans="1:8">
      <c r="A4599" s="6">
        <v>4597</v>
      </c>
      <c r="B4599" s="7" t="str">
        <f t="shared" si="934"/>
        <v>701</v>
      </c>
      <c r="C4599" s="7" t="s">
        <v>3645</v>
      </c>
      <c r="D4599" s="7" t="s">
        <v>3646</v>
      </c>
      <c r="E4599" s="7" t="str">
        <f>"钱雨婷"</f>
        <v>钱雨婷</v>
      </c>
      <c r="F4599" s="7" t="str">
        <f t="shared" si="938"/>
        <v>女</v>
      </c>
      <c r="G4599" s="7" t="s">
        <v>3661</v>
      </c>
      <c r="H4599" s="8"/>
    </row>
    <row r="4600" ht="25" customHeight="1" spans="1:8">
      <c r="A4600" s="6">
        <v>4598</v>
      </c>
      <c r="B4600" s="7" t="str">
        <f t="shared" si="934"/>
        <v>701</v>
      </c>
      <c r="C4600" s="7" t="s">
        <v>3645</v>
      </c>
      <c r="D4600" s="7" t="s">
        <v>3646</v>
      </c>
      <c r="E4600" s="7" t="str">
        <f>"王世友"</f>
        <v>王世友</v>
      </c>
      <c r="F4600" s="7" t="str">
        <f t="shared" si="939"/>
        <v>男</v>
      </c>
      <c r="G4600" s="7" t="s">
        <v>744</v>
      </c>
      <c r="H4600" s="8"/>
    </row>
    <row r="4601" ht="25" customHeight="1" spans="1:8">
      <c r="A4601" s="6">
        <v>4599</v>
      </c>
      <c r="B4601" s="7" t="str">
        <f t="shared" si="934"/>
        <v>701</v>
      </c>
      <c r="C4601" s="7" t="s">
        <v>3645</v>
      </c>
      <c r="D4601" s="7" t="s">
        <v>3646</v>
      </c>
      <c r="E4601" s="7" t="str">
        <f>"杨文博"</f>
        <v>杨文博</v>
      </c>
      <c r="F4601" s="7" t="str">
        <f t="shared" si="939"/>
        <v>男</v>
      </c>
      <c r="G4601" s="7" t="s">
        <v>3662</v>
      </c>
      <c r="H4601" s="8"/>
    </row>
    <row r="4602" ht="25" customHeight="1" spans="1:8">
      <c r="A4602" s="6">
        <v>4600</v>
      </c>
      <c r="B4602" s="7" t="str">
        <f t="shared" si="934"/>
        <v>701</v>
      </c>
      <c r="C4602" s="7" t="s">
        <v>3645</v>
      </c>
      <c r="D4602" s="7" t="s">
        <v>3646</v>
      </c>
      <c r="E4602" s="7" t="str">
        <f>"胡依格"</f>
        <v>胡依格</v>
      </c>
      <c r="F4602" s="7" t="str">
        <f t="shared" si="938"/>
        <v>女</v>
      </c>
      <c r="G4602" s="7" t="s">
        <v>2374</v>
      </c>
      <c r="H4602" s="8"/>
    </row>
    <row r="4603" ht="25" customHeight="1" spans="1:8">
      <c r="A4603" s="6">
        <v>4601</v>
      </c>
      <c r="B4603" s="7" t="str">
        <f t="shared" si="934"/>
        <v>701</v>
      </c>
      <c r="C4603" s="7" t="s">
        <v>3645</v>
      </c>
      <c r="D4603" s="7" t="s">
        <v>3646</v>
      </c>
      <c r="E4603" s="7" t="str">
        <f>"符保东"</f>
        <v>符保东</v>
      </c>
      <c r="F4603" s="7" t="str">
        <f t="shared" ref="F4603:F4607" si="940">"男"</f>
        <v>男</v>
      </c>
      <c r="G4603" s="7" t="s">
        <v>3663</v>
      </c>
      <c r="H4603" s="8"/>
    </row>
    <row r="4604" ht="25" customHeight="1" spans="1:8">
      <c r="A4604" s="6">
        <v>4602</v>
      </c>
      <c r="B4604" s="7" t="str">
        <f t="shared" si="934"/>
        <v>701</v>
      </c>
      <c r="C4604" s="7" t="s">
        <v>3645</v>
      </c>
      <c r="D4604" s="7" t="s">
        <v>3646</v>
      </c>
      <c r="E4604" s="7" t="str">
        <f>"林升畅"</f>
        <v>林升畅</v>
      </c>
      <c r="F4604" s="7" t="str">
        <f t="shared" si="940"/>
        <v>男</v>
      </c>
      <c r="G4604" s="7" t="s">
        <v>744</v>
      </c>
      <c r="H4604" s="8"/>
    </row>
    <row r="4605" ht="25" customHeight="1" spans="1:8">
      <c r="A4605" s="6">
        <v>4603</v>
      </c>
      <c r="B4605" s="7" t="str">
        <f t="shared" si="934"/>
        <v>701</v>
      </c>
      <c r="C4605" s="7" t="s">
        <v>3645</v>
      </c>
      <c r="D4605" s="7" t="s">
        <v>3646</v>
      </c>
      <c r="E4605" s="7" t="str">
        <f>"李欣潇"</f>
        <v>李欣潇</v>
      </c>
      <c r="F4605" s="7" t="str">
        <f>"女"</f>
        <v>女</v>
      </c>
      <c r="G4605" s="7" t="s">
        <v>375</v>
      </c>
      <c r="H4605" s="8"/>
    </row>
    <row r="4606" ht="25" customHeight="1" spans="1:8">
      <c r="A4606" s="6">
        <v>4604</v>
      </c>
      <c r="B4606" s="7" t="str">
        <f t="shared" si="934"/>
        <v>701</v>
      </c>
      <c r="C4606" s="7" t="s">
        <v>3645</v>
      </c>
      <c r="D4606" s="7" t="s">
        <v>3646</v>
      </c>
      <c r="E4606" s="7" t="str">
        <f>"韦传魁"</f>
        <v>韦传魁</v>
      </c>
      <c r="F4606" s="7" t="str">
        <f t="shared" si="940"/>
        <v>男</v>
      </c>
      <c r="G4606" s="7" t="s">
        <v>2141</v>
      </c>
      <c r="H4606" s="8"/>
    </row>
    <row r="4607" ht="25" customHeight="1" spans="1:8">
      <c r="A4607" s="6">
        <v>4605</v>
      </c>
      <c r="B4607" s="7" t="str">
        <f t="shared" si="934"/>
        <v>701</v>
      </c>
      <c r="C4607" s="7" t="s">
        <v>3645</v>
      </c>
      <c r="D4607" s="7" t="s">
        <v>3646</v>
      </c>
      <c r="E4607" s="7" t="str">
        <f>"李裕麟"</f>
        <v>李裕麟</v>
      </c>
      <c r="F4607" s="7" t="str">
        <f t="shared" si="940"/>
        <v>男</v>
      </c>
      <c r="G4607" s="7" t="s">
        <v>3664</v>
      </c>
      <c r="H4607" s="8"/>
    </row>
    <row r="4608" ht="25" customHeight="1" spans="1:8">
      <c r="A4608" s="6">
        <v>4606</v>
      </c>
      <c r="B4608" s="7" t="str">
        <f t="shared" si="934"/>
        <v>701</v>
      </c>
      <c r="C4608" s="7" t="s">
        <v>3645</v>
      </c>
      <c r="D4608" s="7" t="s">
        <v>3646</v>
      </c>
      <c r="E4608" s="7" t="str">
        <f>"韩妍"</f>
        <v>韩妍</v>
      </c>
      <c r="F4608" s="7" t="str">
        <f>"女"</f>
        <v>女</v>
      </c>
      <c r="G4608" s="7" t="s">
        <v>3665</v>
      </c>
      <c r="H4608" s="8"/>
    </row>
    <row r="4609" ht="25" customHeight="1" spans="1:8">
      <c r="A4609" s="6">
        <v>4607</v>
      </c>
      <c r="B4609" s="7" t="str">
        <f t="shared" si="934"/>
        <v>701</v>
      </c>
      <c r="C4609" s="7" t="s">
        <v>3645</v>
      </c>
      <c r="D4609" s="7" t="s">
        <v>3646</v>
      </c>
      <c r="E4609" s="7" t="str">
        <f>"徐启铭"</f>
        <v>徐启铭</v>
      </c>
      <c r="F4609" s="7" t="str">
        <f t="shared" ref="F4609:F4615" si="941">"男"</f>
        <v>男</v>
      </c>
      <c r="G4609" s="7" t="s">
        <v>3666</v>
      </c>
      <c r="H4609" s="8"/>
    </row>
    <row r="4610" ht="25" customHeight="1" spans="1:8">
      <c r="A4610" s="6">
        <v>4608</v>
      </c>
      <c r="B4610" s="7" t="str">
        <f t="shared" si="934"/>
        <v>701</v>
      </c>
      <c r="C4610" s="7" t="s">
        <v>3645</v>
      </c>
      <c r="D4610" s="7" t="s">
        <v>3646</v>
      </c>
      <c r="E4610" s="7" t="str">
        <f>"羊位学"</f>
        <v>羊位学</v>
      </c>
      <c r="F4610" s="7" t="str">
        <f t="shared" si="941"/>
        <v>男</v>
      </c>
      <c r="G4610" s="7" t="s">
        <v>3667</v>
      </c>
      <c r="H4610" s="8"/>
    </row>
    <row r="4611" ht="25" customHeight="1" spans="1:8">
      <c r="A4611" s="6">
        <v>4609</v>
      </c>
      <c r="B4611" s="7" t="str">
        <f t="shared" si="934"/>
        <v>701</v>
      </c>
      <c r="C4611" s="7" t="s">
        <v>3645</v>
      </c>
      <c r="D4611" s="7" t="s">
        <v>3646</v>
      </c>
      <c r="E4611" s="7" t="str">
        <f>"陈丽君"</f>
        <v>陈丽君</v>
      </c>
      <c r="F4611" s="7" t="str">
        <f>"女"</f>
        <v>女</v>
      </c>
      <c r="G4611" s="7" t="s">
        <v>3668</v>
      </c>
      <c r="H4611" s="8"/>
    </row>
    <row r="4612" ht="25" customHeight="1" spans="1:8">
      <c r="A4612" s="6">
        <v>4610</v>
      </c>
      <c r="B4612" s="7" t="str">
        <f t="shared" si="934"/>
        <v>701</v>
      </c>
      <c r="C4612" s="7" t="s">
        <v>3645</v>
      </c>
      <c r="D4612" s="7" t="s">
        <v>3646</v>
      </c>
      <c r="E4612" s="7" t="str">
        <f>"郭仁亮"</f>
        <v>郭仁亮</v>
      </c>
      <c r="F4612" s="7" t="str">
        <f t="shared" si="941"/>
        <v>男</v>
      </c>
      <c r="G4612" s="7" t="s">
        <v>3669</v>
      </c>
      <c r="H4612" s="8"/>
    </row>
    <row r="4613" ht="25" customHeight="1" spans="1:8">
      <c r="A4613" s="6">
        <v>4611</v>
      </c>
      <c r="B4613" s="7" t="str">
        <f t="shared" si="934"/>
        <v>701</v>
      </c>
      <c r="C4613" s="7" t="s">
        <v>3645</v>
      </c>
      <c r="D4613" s="7" t="s">
        <v>3646</v>
      </c>
      <c r="E4613" s="7" t="str">
        <f>"沈峻棡"</f>
        <v>沈峻棡</v>
      </c>
      <c r="F4613" s="7" t="str">
        <f t="shared" si="941"/>
        <v>男</v>
      </c>
      <c r="G4613" s="7" t="s">
        <v>3670</v>
      </c>
      <c r="H4613" s="8"/>
    </row>
    <row r="4614" ht="25" customHeight="1" spans="1:8">
      <c r="A4614" s="6">
        <v>4612</v>
      </c>
      <c r="B4614" s="7" t="str">
        <f t="shared" si="934"/>
        <v>701</v>
      </c>
      <c r="C4614" s="7" t="s">
        <v>3645</v>
      </c>
      <c r="D4614" s="7" t="s">
        <v>3646</v>
      </c>
      <c r="E4614" s="7" t="str">
        <f>"许名康"</f>
        <v>许名康</v>
      </c>
      <c r="F4614" s="7" t="str">
        <f t="shared" si="941"/>
        <v>男</v>
      </c>
      <c r="G4614" s="7" t="s">
        <v>3671</v>
      </c>
      <c r="H4614" s="8"/>
    </row>
    <row r="4615" ht="25" customHeight="1" spans="1:8">
      <c r="A4615" s="6">
        <v>4613</v>
      </c>
      <c r="B4615" s="7" t="str">
        <f t="shared" si="934"/>
        <v>701</v>
      </c>
      <c r="C4615" s="7" t="s">
        <v>3645</v>
      </c>
      <c r="D4615" s="7" t="s">
        <v>3646</v>
      </c>
      <c r="E4615" s="7" t="str">
        <f>"吴磊"</f>
        <v>吴磊</v>
      </c>
      <c r="F4615" s="7" t="str">
        <f t="shared" si="941"/>
        <v>男</v>
      </c>
      <c r="G4615" s="7" t="s">
        <v>3672</v>
      </c>
      <c r="H4615" s="8"/>
    </row>
    <row r="4616" ht="25" customHeight="1" spans="1:8">
      <c r="A4616" s="6">
        <v>4614</v>
      </c>
      <c r="B4616" s="7" t="str">
        <f t="shared" si="934"/>
        <v>701</v>
      </c>
      <c r="C4616" s="7" t="s">
        <v>3645</v>
      </c>
      <c r="D4616" s="7" t="s">
        <v>3646</v>
      </c>
      <c r="E4616" s="7" t="str">
        <f>"张欣怡"</f>
        <v>张欣怡</v>
      </c>
      <c r="F4616" s="7" t="str">
        <f>"女"</f>
        <v>女</v>
      </c>
      <c r="G4616" s="7" t="s">
        <v>3673</v>
      </c>
      <c r="H4616" s="8"/>
    </row>
    <row r="4617" ht="25" customHeight="1" spans="1:8">
      <c r="A4617" s="6">
        <v>4615</v>
      </c>
      <c r="B4617" s="7" t="str">
        <f t="shared" si="934"/>
        <v>701</v>
      </c>
      <c r="C4617" s="7" t="s">
        <v>3645</v>
      </c>
      <c r="D4617" s="7" t="s">
        <v>3646</v>
      </c>
      <c r="E4617" s="7" t="str">
        <f>"刘元霖"</f>
        <v>刘元霖</v>
      </c>
      <c r="F4617" s="7" t="str">
        <f t="shared" ref="F4617:F4619" si="942">"男"</f>
        <v>男</v>
      </c>
      <c r="G4617" s="7" t="s">
        <v>3674</v>
      </c>
      <c r="H4617" s="8"/>
    </row>
    <row r="4618" ht="25" customHeight="1" spans="1:8">
      <c r="A4618" s="6">
        <v>4616</v>
      </c>
      <c r="B4618" s="7" t="str">
        <f t="shared" si="934"/>
        <v>701</v>
      </c>
      <c r="C4618" s="7" t="s">
        <v>3645</v>
      </c>
      <c r="D4618" s="7" t="s">
        <v>3646</v>
      </c>
      <c r="E4618" s="7" t="str">
        <f>"林建祥"</f>
        <v>林建祥</v>
      </c>
      <c r="F4618" s="7" t="str">
        <f t="shared" si="942"/>
        <v>男</v>
      </c>
      <c r="G4618" s="7" t="s">
        <v>427</v>
      </c>
      <c r="H4618" s="8"/>
    </row>
    <row r="4619" ht="25" customHeight="1" spans="1:8">
      <c r="A4619" s="6">
        <v>4617</v>
      </c>
      <c r="B4619" s="7" t="str">
        <f t="shared" si="934"/>
        <v>701</v>
      </c>
      <c r="C4619" s="7" t="s">
        <v>3645</v>
      </c>
      <c r="D4619" s="7" t="s">
        <v>3646</v>
      </c>
      <c r="E4619" s="7" t="str">
        <f>"蔡兴国"</f>
        <v>蔡兴国</v>
      </c>
      <c r="F4619" s="7" t="str">
        <f t="shared" si="942"/>
        <v>男</v>
      </c>
      <c r="G4619" s="7" t="s">
        <v>772</v>
      </c>
      <c r="H4619" s="8"/>
    </row>
    <row r="4620" ht="25" customHeight="1" spans="1:8">
      <c r="A4620" s="6">
        <v>4618</v>
      </c>
      <c r="B4620" s="7" t="str">
        <f t="shared" si="934"/>
        <v>701</v>
      </c>
      <c r="C4620" s="7" t="s">
        <v>3645</v>
      </c>
      <c r="D4620" s="7" t="s">
        <v>3646</v>
      </c>
      <c r="E4620" s="7" t="str">
        <f>"徐雅婕"</f>
        <v>徐雅婕</v>
      </c>
      <c r="F4620" s="7" t="str">
        <f t="shared" ref="F4620:F4624" si="943">"女"</f>
        <v>女</v>
      </c>
      <c r="G4620" s="7" t="s">
        <v>3675</v>
      </c>
      <c r="H4620" s="8"/>
    </row>
    <row r="4621" ht="25" customHeight="1" spans="1:8">
      <c r="A4621" s="6">
        <v>4619</v>
      </c>
      <c r="B4621" s="7" t="str">
        <f t="shared" si="934"/>
        <v>701</v>
      </c>
      <c r="C4621" s="7" t="s">
        <v>3645</v>
      </c>
      <c r="D4621" s="7" t="s">
        <v>3646</v>
      </c>
      <c r="E4621" s="7" t="str">
        <f>"郭扬"</f>
        <v>郭扬</v>
      </c>
      <c r="F4621" s="7" t="str">
        <f t="shared" ref="F4621:F4625" si="944">"男"</f>
        <v>男</v>
      </c>
      <c r="G4621" s="7" t="s">
        <v>1863</v>
      </c>
      <c r="H4621" s="8"/>
    </row>
    <row r="4622" ht="25" customHeight="1" spans="1:8">
      <c r="A4622" s="6">
        <v>4620</v>
      </c>
      <c r="B4622" s="7" t="str">
        <f t="shared" si="934"/>
        <v>701</v>
      </c>
      <c r="C4622" s="7" t="s">
        <v>3645</v>
      </c>
      <c r="D4622" s="7" t="s">
        <v>3646</v>
      </c>
      <c r="E4622" s="7" t="str">
        <f>"李扬"</f>
        <v>李扬</v>
      </c>
      <c r="F4622" s="7" t="str">
        <f t="shared" si="944"/>
        <v>男</v>
      </c>
      <c r="G4622" s="7" t="s">
        <v>568</v>
      </c>
      <c r="H4622" s="8"/>
    </row>
    <row r="4623" ht="25" customHeight="1" spans="1:8">
      <c r="A4623" s="6">
        <v>4621</v>
      </c>
      <c r="B4623" s="7" t="str">
        <f t="shared" si="934"/>
        <v>701</v>
      </c>
      <c r="C4623" s="7" t="s">
        <v>3645</v>
      </c>
      <c r="D4623" s="7" t="s">
        <v>3646</v>
      </c>
      <c r="E4623" s="7" t="str">
        <f>"王茹"</f>
        <v>王茹</v>
      </c>
      <c r="F4623" s="7" t="str">
        <f t="shared" si="943"/>
        <v>女</v>
      </c>
      <c r="G4623" s="7" t="s">
        <v>498</v>
      </c>
      <c r="H4623" s="8"/>
    </row>
    <row r="4624" ht="25" customHeight="1" spans="1:8">
      <c r="A4624" s="6">
        <v>4622</v>
      </c>
      <c r="B4624" s="7" t="str">
        <f t="shared" si="934"/>
        <v>701</v>
      </c>
      <c r="C4624" s="7" t="s">
        <v>3645</v>
      </c>
      <c r="D4624" s="7" t="s">
        <v>3646</v>
      </c>
      <c r="E4624" s="7" t="str">
        <f>"汪格格"</f>
        <v>汪格格</v>
      </c>
      <c r="F4624" s="7" t="str">
        <f t="shared" si="943"/>
        <v>女</v>
      </c>
      <c r="G4624" s="7" t="s">
        <v>3676</v>
      </c>
      <c r="H4624" s="8"/>
    </row>
    <row r="4625" ht="25" customHeight="1" spans="1:8">
      <c r="A4625" s="6">
        <v>4623</v>
      </c>
      <c r="B4625" s="7" t="str">
        <f t="shared" si="934"/>
        <v>701</v>
      </c>
      <c r="C4625" s="7" t="s">
        <v>3645</v>
      </c>
      <c r="D4625" s="7" t="s">
        <v>3646</v>
      </c>
      <c r="E4625" s="7" t="str">
        <f>"卢作旺"</f>
        <v>卢作旺</v>
      </c>
      <c r="F4625" s="7" t="str">
        <f t="shared" si="944"/>
        <v>男</v>
      </c>
      <c r="G4625" s="7" t="s">
        <v>3677</v>
      </c>
      <c r="H4625" s="8"/>
    </row>
    <row r="4626" ht="25" customHeight="1" spans="1:8">
      <c r="A4626" s="6">
        <v>4624</v>
      </c>
      <c r="B4626" s="7" t="str">
        <f t="shared" si="934"/>
        <v>701</v>
      </c>
      <c r="C4626" s="7" t="s">
        <v>3645</v>
      </c>
      <c r="D4626" s="7" t="s">
        <v>3646</v>
      </c>
      <c r="E4626" s="7" t="str">
        <f>"刘宁"</f>
        <v>刘宁</v>
      </c>
      <c r="F4626" s="7" t="str">
        <f>"女"</f>
        <v>女</v>
      </c>
      <c r="G4626" s="7" t="s">
        <v>3678</v>
      </c>
      <c r="H4626" s="8"/>
    </row>
    <row r="4627" ht="25" customHeight="1" spans="1:8">
      <c r="A4627" s="6">
        <v>4625</v>
      </c>
      <c r="B4627" s="7" t="str">
        <f t="shared" si="934"/>
        <v>701</v>
      </c>
      <c r="C4627" s="7" t="s">
        <v>3645</v>
      </c>
      <c r="D4627" s="7" t="s">
        <v>3646</v>
      </c>
      <c r="E4627" s="7" t="str">
        <f>"文天南"</f>
        <v>文天南</v>
      </c>
      <c r="F4627" s="7" t="str">
        <f t="shared" ref="F4627:F4629" si="945">"男"</f>
        <v>男</v>
      </c>
      <c r="G4627" s="7" t="s">
        <v>3679</v>
      </c>
      <c r="H4627" s="8"/>
    </row>
    <row r="4628" ht="25" customHeight="1" spans="1:8">
      <c r="A4628" s="6">
        <v>4626</v>
      </c>
      <c r="B4628" s="7" t="str">
        <f t="shared" si="934"/>
        <v>701</v>
      </c>
      <c r="C4628" s="7" t="s">
        <v>3645</v>
      </c>
      <c r="D4628" s="7" t="s">
        <v>3646</v>
      </c>
      <c r="E4628" s="7" t="str">
        <f>"王安涛"</f>
        <v>王安涛</v>
      </c>
      <c r="F4628" s="7" t="str">
        <f t="shared" si="945"/>
        <v>男</v>
      </c>
      <c r="G4628" s="7" t="s">
        <v>3680</v>
      </c>
      <c r="H4628" s="8"/>
    </row>
    <row r="4629" ht="25" customHeight="1" spans="1:8">
      <c r="A4629" s="6">
        <v>4627</v>
      </c>
      <c r="B4629" s="7" t="str">
        <f t="shared" si="934"/>
        <v>701</v>
      </c>
      <c r="C4629" s="7" t="s">
        <v>3645</v>
      </c>
      <c r="D4629" s="7" t="s">
        <v>3646</v>
      </c>
      <c r="E4629" s="7" t="str">
        <f>"符大树"</f>
        <v>符大树</v>
      </c>
      <c r="F4629" s="7" t="str">
        <f t="shared" si="945"/>
        <v>男</v>
      </c>
      <c r="G4629" s="7" t="s">
        <v>401</v>
      </c>
      <c r="H4629" s="8"/>
    </row>
    <row r="4630" ht="25" customHeight="1" spans="1:8">
      <c r="A4630" s="6">
        <v>4628</v>
      </c>
      <c r="B4630" s="7" t="str">
        <f t="shared" si="934"/>
        <v>701</v>
      </c>
      <c r="C4630" s="7" t="s">
        <v>3645</v>
      </c>
      <c r="D4630" s="7" t="s">
        <v>3646</v>
      </c>
      <c r="E4630" s="7" t="str">
        <f>"章玉华"</f>
        <v>章玉华</v>
      </c>
      <c r="F4630" s="7" t="str">
        <f>"女"</f>
        <v>女</v>
      </c>
      <c r="G4630" s="7" t="s">
        <v>3681</v>
      </c>
      <c r="H4630" s="8"/>
    </row>
    <row r="4631" ht="25" customHeight="1" spans="1:8">
      <c r="A4631" s="6">
        <v>4629</v>
      </c>
      <c r="B4631" s="7" t="str">
        <f t="shared" si="934"/>
        <v>701</v>
      </c>
      <c r="C4631" s="7" t="s">
        <v>3645</v>
      </c>
      <c r="D4631" s="7" t="s">
        <v>3646</v>
      </c>
      <c r="E4631" s="7" t="str">
        <f>"李腾达"</f>
        <v>李腾达</v>
      </c>
      <c r="F4631" s="7" t="str">
        <f t="shared" ref="F4631:F4634" si="946">"男"</f>
        <v>男</v>
      </c>
      <c r="G4631" s="7" t="s">
        <v>3682</v>
      </c>
      <c r="H4631" s="8"/>
    </row>
    <row r="4632" ht="25" customHeight="1" spans="1:8">
      <c r="A4632" s="6">
        <v>4630</v>
      </c>
      <c r="B4632" s="7" t="str">
        <f t="shared" si="934"/>
        <v>701</v>
      </c>
      <c r="C4632" s="7" t="s">
        <v>3645</v>
      </c>
      <c r="D4632" s="7" t="s">
        <v>3646</v>
      </c>
      <c r="E4632" s="7" t="str">
        <f>"符明景"</f>
        <v>符明景</v>
      </c>
      <c r="F4632" s="7" t="str">
        <f t="shared" si="946"/>
        <v>男</v>
      </c>
      <c r="G4632" s="7" t="s">
        <v>3683</v>
      </c>
      <c r="H4632" s="8"/>
    </row>
    <row r="4633" ht="25" customHeight="1" spans="1:8">
      <c r="A4633" s="6">
        <v>4631</v>
      </c>
      <c r="B4633" s="7" t="str">
        <f t="shared" si="934"/>
        <v>701</v>
      </c>
      <c r="C4633" s="7" t="s">
        <v>3645</v>
      </c>
      <c r="D4633" s="7" t="s">
        <v>3646</v>
      </c>
      <c r="E4633" s="7" t="str">
        <f>"符国发"</f>
        <v>符国发</v>
      </c>
      <c r="F4633" s="7" t="str">
        <f t="shared" si="946"/>
        <v>男</v>
      </c>
      <c r="G4633" s="7" t="s">
        <v>3684</v>
      </c>
      <c r="H4633" s="8"/>
    </row>
    <row r="4634" ht="25" customHeight="1" spans="1:8">
      <c r="A4634" s="6">
        <v>4632</v>
      </c>
      <c r="B4634" s="7" t="str">
        <f t="shared" si="934"/>
        <v>701</v>
      </c>
      <c r="C4634" s="7" t="s">
        <v>3645</v>
      </c>
      <c r="D4634" s="7" t="s">
        <v>3646</v>
      </c>
      <c r="E4634" s="7" t="str">
        <f>"赵华彬"</f>
        <v>赵华彬</v>
      </c>
      <c r="F4634" s="7" t="str">
        <f t="shared" si="946"/>
        <v>男</v>
      </c>
      <c r="G4634" s="7" t="s">
        <v>3685</v>
      </c>
      <c r="H4634" s="8"/>
    </row>
    <row r="4635" ht="25" customHeight="1" spans="1:8">
      <c r="A4635" s="6">
        <v>4633</v>
      </c>
      <c r="B4635" s="7" t="str">
        <f t="shared" si="934"/>
        <v>701</v>
      </c>
      <c r="C4635" s="7" t="s">
        <v>3645</v>
      </c>
      <c r="D4635" s="7" t="s">
        <v>3646</v>
      </c>
      <c r="E4635" s="7" t="str">
        <f>"梁舒慧"</f>
        <v>梁舒慧</v>
      </c>
      <c r="F4635" s="7" t="str">
        <f>"女"</f>
        <v>女</v>
      </c>
      <c r="G4635" s="7" t="s">
        <v>3686</v>
      </c>
      <c r="H4635" s="8"/>
    </row>
    <row r="4636" ht="25" customHeight="1" spans="1:8">
      <c r="A4636" s="6">
        <v>4634</v>
      </c>
      <c r="B4636" s="7" t="str">
        <f t="shared" si="934"/>
        <v>701</v>
      </c>
      <c r="C4636" s="7" t="s">
        <v>3645</v>
      </c>
      <c r="D4636" s="7" t="s">
        <v>3646</v>
      </c>
      <c r="E4636" s="7" t="str">
        <f>"蔡亲政"</f>
        <v>蔡亲政</v>
      </c>
      <c r="F4636" s="7" t="str">
        <f t="shared" ref="F4636:F4650" si="947">"男"</f>
        <v>男</v>
      </c>
      <c r="G4636" s="7" t="s">
        <v>346</v>
      </c>
      <c r="H4636" s="8"/>
    </row>
    <row r="4637" ht="25" customHeight="1" spans="1:8">
      <c r="A4637" s="6">
        <v>4635</v>
      </c>
      <c r="B4637" s="7" t="str">
        <f t="shared" si="934"/>
        <v>701</v>
      </c>
      <c r="C4637" s="7" t="s">
        <v>3645</v>
      </c>
      <c r="D4637" s="7" t="s">
        <v>3646</v>
      </c>
      <c r="E4637" s="7" t="str">
        <f>"胡涵宇"</f>
        <v>胡涵宇</v>
      </c>
      <c r="F4637" s="7" t="str">
        <f t="shared" si="947"/>
        <v>男</v>
      </c>
      <c r="G4637" s="7" t="s">
        <v>3687</v>
      </c>
      <c r="H4637" s="8"/>
    </row>
    <row r="4638" ht="25" customHeight="1" spans="1:8">
      <c r="A4638" s="6">
        <v>4636</v>
      </c>
      <c r="B4638" s="7" t="str">
        <f t="shared" si="934"/>
        <v>701</v>
      </c>
      <c r="C4638" s="7" t="s">
        <v>3645</v>
      </c>
      <c r="D4638" s="7" t="s">
        <v>3646</v>
      </c>
      <c r="E4638" s="7" t="str">
        <f>"邬铭瑶"</f>
        <v>邬铭瑶</v>
      </c>
      <c r="F4638" s="7" t="str">
        <f>"女"</f>
        <v>女</v>
      </c>
      <c r="G4638" s="7" t="s">
        <v>3688</v>
      </c>
      <c r="H4638" s="8"/>
    </row>
    <row r="4639" ht="25" customHeight="1" spans="1:8">
      <c r="A4639" s="6">
        <v>4637</v>
      </c>
      <c r="B4639" s="7" t="str">
        <f t="shared" si="934"/>
        <v>701</v>
      </c>
      <c r="C4639" s="7" t="s">
        <v>3645</v>
      </c>
      <c r="D4639" s="7" t="s">
        <v>3646</v>
      </c>
      <c r="E4639" s="7" t="str">
        <f>"余忠祥"</f>
        <v>余忠祥</v>
      </c>
      <c r="F4639" s="7" t="str">
        <f t="shared" si="947"/>
        <v>男</v>
      </c>
      <c r="G4639" s="7" t="s">
        <v>909</v>
      </c>
      <c r="H4639" s="8"/>
    </row>
    <row r="4640" ht="25" customHeight="1" spans="1:8">
      <c r="A4640" s="6">
        <v>4638</v>
      </c>
      <c r="B4640" s="7" t="str">
        <f t="shared" si="934"/>
        <v>701</v>
      </c>
      <c r="C4640" s="7" t="s">
        <v>3645</v>
      </c>
      <c r="D4640" s="7" t="s">
        <v>3646</v>
      </c>
      <c r="E4640" s="7" t="str">
        <f>"张憬峰"</f>
        <v>张憬峰</v>
      </c>
      <c r="F4640" s="7" t="str">
        <f t="shared" si="947"/>
        <v>男</v>
      </c>
      <c r="G4640" s="7" t="s">
        <v>3689</v>
      </c>
      <c r="H4640" s="8"/>
    </row>
    <row r="4641" ht="25" customHeight="1" spans="1:8">
      <c r="A4641" s="6">
        <v>4639</v>
      </c>
      <c r="B4641" s="7" t="str">
        <f t="shared" ref="B4641:B4704" si="948">"701"</f>
        <v>701</v>
      </c>
      <c r="C4641" s="7" t="s">
        <v>3645</v>
      </c>
      <c r="D4641" s="7" t="s">
        <v>3646</v>
      </c>
      <c r="E4641" s="7" t="str">
        <f>"杨昭德"</f>
        <v>杨昭德</v>
      </c>
      <c r="F4641" s="7" t="str">
        <f t="shared" si="947"/>
        <v>男</v>
      </c>
      <c r="G4641" s="7" t="s">
        <v>3690</v>
      </c>
      <c r="H4641" s="8"/>
    </row>
    <row r="4642" ht="25" customHeight="1" spans="1:8">
      <c r="A4642" s="6">
        <v>4640</v>
      </c>
      <c r="B4642" s="7" t="str">
        <f t="shared" si="948"/>
        <v>701</v>
      </c>
      <c r="C4642" s="7" t="s">
        <v>3645</v>
      </c>
      <c r="D4642" s="7" t="s">
        <v>3646</v>
      </c>
      <c r="E4642" s="7" t="str">
        <f>"周泓楠"</f>
        <v>周泓楠</v>
      </c>
      <c r="F4642" s="7" t="str">
        <f t="shared" si="947"/>
        <v>男</v>
      </c>
      <c r="G4642" s="7" t="s">
        <v>3691</v>
      </c>
      <c r="H4642" s="8"/>
    </row>
    <row r="4643" ht="25" customHeight="1" spans="1:8">
      <c r="A4643" s="6">
        <v>4641</v>
      </c>
      <c r="B4643" s="7" t="str">
        <f t="shared" si="948"/>
        <v>701</v>
      </c>
      <c r="C4643" s="7" t="s">
        <v>3645</v>
      </c>
      <c r="D4643" s="7" t="s">
        <v>3646</v>
      </c>
      <c r="E4643" s="7" t="str">
        <f>"杨唯杰"</f>
        <v>杨唯杰</v>
      </c>
      <c r="F4643" s="7" t="str">
        <f t="shared" si="947"/>
        <v>男</v>
      </c>
      <c r="G4643" s="7" t="s">
        <v>3692</v>
      </c>
      <c r="H4643" s="8"/>
    </row>
    <row r="4644" ht="25" customHeight="1" spans="1:8">
      <c r="A4644" s="6">
        <v>4642</v>
      </c>
      <c r="B4644" s="7" t="str">
        <f t="shared" si="948"/>
        <v>701</v>
      </c>
      <c r="C4644" s="7" t="s">
        <v>3645</v>
      </c>
      <c r="D4644" s="7" t="s">
        <v>3646</v>
      </c>
      <c r="E4644" s="7" t="str">
        <f>"张振东"</f>
        <v>张振东</v>
      </c>
      <c r="F4644" s="7" t="str">
        <f t="shared" si="947"/>
        <v>男</v>
      </c>
      <c r="G4644" s="7" t="s">
        <v>3693</v>
      </c>
      <c r="H4644" s="8"/>
    </row>
    <row r="4645" ht="25" customHeight="1" spans="1:8">
      <c r="A4645" s="6">
        <v>4643</v>
      </c>
      <c r="B4645" s="7" t="str">
        <f t="shared" si="948"/>
        <v>701</v>
      </c>
      <c r="C4645" s="7" t="s">
        <v>3645</v>
      </c>
      <c r="D4645" s="7" t="s">
        <v>3646</v>
      </c>
      <c r="E4645" s="7" t="str">
        <f>"陈斯国"</f>
        <v>陈斯国</v>
      </c>
      <c r="F4645" s="7" t="str">
        <f t="shared" si="947"/>
        <v>男</v>
      </c>
      <c r="G4645" s="7" t="s">
        <v>1982</v>
      </c>
      <c r="H4645" s="8"/>
    </row>
    <row r="4646" ht="25" customHeight="1" spans="1:8">
      <c r="A4646" s="6">
        <v>4644</v>
      </c>
      <c r="B4646" s="7" t="str">
        <f t="shared" si="948"/>
        <v>701</v>
      </c>
      <c r="C4646" s="7" t="s">
        <v>3645</v>
      </c>
      <c r="D4646" s="7" t="s">
        <v>3646</v>
      </c>
      <c r="E4646" s="7" t="str">
        <f>"卢明杰"</f>
        <v>卢明杰</v>
      </c>
      <c r="F4646" s="7" t="str">
        <f t="shared" si="947"/>
        <v>男</v>
      </c>
      <c r="G4646" s="7" t="s">
        <v>3694</v>
      </c>
      <c r="H4646" s="8"/>
    </row>
    <row r="4647" ht="25" customHeight="1" spans="1:8">
      <c r="A4647" s="6">
        <v>4645</v>
      </c>
      <c r="B4647" s="7" t="str">
        <f t="shared" si="948"/>
        <v>701</v>
      </c>
      <c r="C4647" s="7" t="s">
        <v>3645</v>
      </c>
      <c r="D4647" s="7" t="s">
        <v>3646</v>
      </c>
      <c r="E4647" s="7" t="str">
        <f>"晏一帆"</f>
        <v>晏一帆</v>
      </c>
      <c r="F4647" s="7" t="str">
        <f t="shared" si="947"/>
        <v>男</v>
      </c>
      <c r="G4647" s="7" t="s">
        <v>3695</v>
      </c>
      <c r="H4647" s="8"/>
    </row>
    <row r="4648" ht="25" customHeight="1" spans="1:8">
      <c r="A4648" s="6">
        <v>4646</v>
      </c>
      <c r="B4648" s="7" t="str">
        <f t="shared" si="948"/>
        <v>701</v>
      </c>
      <c r="C4648" s="7" t="s">
        <v>3645</v>
      </c>
      <c r="D4648" s="7" t="s">
        <v>3646</v>
      </c>
      <c r="E4648" s="7" t="str">
        <f>"冯文杰"</f>
        <v>冯文杰</v>
      </c>
      <c r="F4648" s="7" t="str">
        <f t="shared" si="947"/>
        <v>男</v>
      </c>
      <c r="G4648" s="7" t="s">
        <v>772</v>
      </c>
      <c r="H4648" s="8"/>
    </row>
    <row r="4649" ht="25" customHeight="1" spans="1:8">
      <c r="A4649" s="6">
        <v>4647</v>
      </c>
      <c r="B4649" s="7" t="str">
        <f t="shared" si="948"/>
        <v>701</v>
      </c>
      <c r="C4649" s="7" t="s">
        <v>3645</v>
      </c>
      <c r="D4649" s="7" t="s">
        <v>3646</v>
      </c>
      <c r="E4649" s="7" t="str">
        <f>"刘红政"</f>
        <v>刘红政</v>
      </c>
      <c r="F4649" s="7" t="str">
        <f t="shared" si="947"/>
        <v>男</v>
      </c>
      <c r="G4649" s="7" t="s">
        <v>3696</v>
      </c>
      <c r="H4649" s="8"/>
    </row>
    <row r="4650" ht="25" customHeight="1" spans="1:8">
      <c r="A4650" s="6">
        <v>4648</v>
      </c>
      <c r="B4650" s="7" t="str">
        <f t="shared" si="948"/>
        <v>701</v>
      </c>
      <c r="C4650" s="7" t="s">
        <v>3645</v>
      </c>
      <c r="D4650" s="7" t="s">
        <v>3646</v>
      </c>
      <c r="E4650" s="7" t="str">
        <f>"董憬军"</f>
        <v>董憬军</v>
      </c>
      <c r="F4650" s="7" t="str">
        <f t="shared" si="947"/>
        <v>男</v>
      </c>
      <c r="G4650" s="7" t="s">
        <v>3697</v>
      </c>
      <c r="H4650" s="8"/>
    </row>
    <row r="4651" ht="25" customHeight="1" spans="1:8">
      <c r="A4651" s="6">
        <v>4649</v>
      </c>
      <c r="B4651" s="7" t="str">
        <f t="shared" si="948"/>
        <v>701</v>
      </c>
      <c r="C4651" s="7" t="s">
        <v>3645</v>
      </c>
      <c r="D4651" s="7" t="s">
        <v>3646</v>
      </c>
      <c r="E4651" s="7" t="str">
        <f>"郑兴梅"</f>
        <v>郑兴梅</v>
      </c>
      <c r="F4651" s="7" t="str">
        <f>"女"</f>
        <v>女</v>
      </c>
      <c r="G4651" s="7" t="s">
        <v>3698</v>
      </c>
      <c r="H4651" s="8"/>
    </row>
    <row r="4652" ht="25" customHeight="1" spans="1:8">
      <c r="A4652" s="6">
        <v>4650</v>
      </c>
      <c r="B4652" s="7" t="str">
        <f t="shared" si="948"/>
        <v>701</v>
      </c>
      <c r="C4652" s="7" t="s">
        <v>3645</v>
      </c>
      <c r="D4652" s="7" t="s">
        <v>3646</v>
      </c>
      <c r="E4652" s="7" t="str">
        <f>"吴绵杰"</f>
        <v>吴绵杰</v>
      </c>
      <c r="F4652" s="7" t="str">
        <f t="shared" ref="F4652:F4657" si="949">"男"</f>
        <v>男</v>
      </c>
      <c r="G4652" s="7" t="s">
        <v>3699</v>
      </c>
      <c r="H4652" s="8"/>
    </row>
    <row r="4653" ht="25" customHeight="1" spans="1:8">
      <c r="A4653" s="6">
        <v>4651</v>
      </c>
      <c r="B4653" s="7" t="str">
        <f t="shared" si="948"/>
        <v>701</v>
      </c>
      <c r="C4653" s="7" t="s">
        <v>3645</v>
      </c>
      <c r="D4653" s="7" t="s">
        <v>3646</v>
      </c>
      <c r="E4653" s="7" t="str">
        <f>"黄茂秀"</f>
        <v>黄茂秀</v>
      </c>
      <c r="F4653" s="7" t="str">
        <f t="shared" si="949"/>
        <v>男</v>
      </c>
      <c r="G4653" s="7" t="s">
        <v>3105</v>
      </c>
      <c r="H4653" s="8"/>
    </row>
    <row r="4654" ht="25" customHeight="1" spans="1:8">
      <c r="A4654" s="6">
        <v>4652</v>
      </c>
      <c r="B4654" s="7" t="str">
        <f t="shared" si="948"/>
        <v>701</v>
      </c>
      <c r="C4654" s="7" t="s">
        <v>3645</v>
      </c>
      <c r="D4654" s="7" t="s">
        <v>3646</v>
      </c>
      <c r="E4654" s="7" t="str">
        <f>"黄良"</f>
        <v>黄良</v>
      </c>
      <c r="F4654" s="7" t="str">
        <f t="shared" si="949"/>
        <v>男</v>
      </c>
      <c r="G4654" s="7" t="s">
        <v>1195</v>
      </c>
      <c r="H4654" s="8"/>
    </row>
    <row r="4655" ht="25" customHeight="1" spans="1:8">
      <c r="A4655" s="6">
        <v>4653</v>
      </c>
      <c r="B4655" s="7" t="str">
        <f t="shared" si="948"/>
        <v>701</v>
      </c>
      <c r="C4655" s="7" t="s">
        <v>3645</v>
      </c>
      <c r="D4655" s="7" t="s">
        <v>3646</v>
      </c>
      <c r="E4655" s="7" t="str">
        <f>"黄裕寿"</f>
        <v>黄裕寿</v>
      </c>
      <c r="F4655" s="7" t="str">
        <f t="shared" si="949"/>
        <v>男</v>
      </c>
      <c r="G4655" s="7" t="s">
        <v>3700</v>
      </c>
      <c r="H4655" s="8"/>
    </row>
    <row r="4656" ht="25" customHeight="1" spans="1:8">
      <c r="A4656" s="6">
        <v>4654</v>
      </c>
      <c r="B4656" s="7" t="str">
        <f t="shared" si="948"/>
        <v>701</v>
      </c>
      <c r="C4656" s="7" t="s">
        <v>3645</v>
      </c>
      <c r="D4656" s="7" t="s">
        <v>3646</v>
      </c>
      <c r="E4656" s="7" t="str">
        <f>"秦伶银"</f>
        <v>秦伶银</v>
      </c>
      <c r="F4656" s="7" t="str">
        <f t="shared" si="949"/>
        <v>男</v>
      </c>
      <c r="G4656" s="7" t="s">
        <v>3701</v>
      </c>
      <c r="H4656" s="8"/>
    </row>
    <row r="4657" ht="25" customHeight="1" spans="1:8">
      <c r="A4657" s="6">
        <v>4655</v>
      </c>
      <c r="B4657" s="7" t="str">
        <f t="shared" si="948"/>
        <v>701</v>
      </c>
      <c r="C4657" s="7" t="s">
        <v>3645</v>
      </c>
      <c r="D4657" s="7" t="s">
        <v>3646</v>
      </c>
      <c r="E4657" s="7" t="str">
        <f>"黄俊福"</f>
        <v>黄俊福</v>
      </c>
      <c r="F4657" s="7" t="str">
        <f t="shared" si="949"/>
        <v>男</v>
      </c>
      <c r="G4657" s="7" t="s">
        <v>3702</v>
      </c>
      <c r="H4657" s="8"/>
    </row>
    <row r="4658" ht="25" customHeight="1" spans="1:8">
      <c r="A4658" s="6">
        <v>4656</v>
      </c>
      <c r="B4658" s="7" t="str">
        <f t="shared" si="948"/>
        <v>701</v>
      </c>
      <c r="C4658" s="7" t="s">
        <v>3645</v>
      </c>
      <c r="D4658" s="7" t="s">
        <v>3646</v>
      </c>
      <c r="E4658" s="7" t="str">
        <f>"秦菲菲"</f>
        <v>秦菲菲</v>
      </c>
      <c r="F4658" s="7" t="str">
        <f>"女"</f>
        <v>女</v>
      </c>
      <c r="G4658" s="7" t="s">
        <v>3703</v>
      </c>
      <c r="H4658" s="8"/>
    </row>
    <row r="4659" ht="25" customHeight="1" spans="1:8">
      <c r="A4659" s="6">
        <v>4657</v>
      </c>
      <c r="B4659" s="7" t="str">
        <f t="shared" si="948"/>
        <v>701</v>
      </c>
      <c r="C4659" s="7" t="s">
        <v>3645</v>
      </c>
      <c r="D4659" s="7" t="s">
        <v>3646</v>
      </c>
      <c r="E4659" s="7" t="str">
        <f>"王琼兴"</f>
        <v>王琼兴</v>
      </c>
      <c r="F4659" s="7" t="str">
        <f t="shared" ref="F4659:F4663" si="950">"男"</f>
        <v>男</v>
      </c>
      <c r="G4659" s="7" t="s">
        <v>3704</v>
      </c>
      <c r="H4659" s="8"/>
    </row>
    <row r="4660" ht="25" customHeight="1" spans="1:8">
      <c r="A4660" s="6">
        <v>4658</v>
      </c>
      <c r="B4660" s="7" t="str">
        <f t="shared" si="948"/>
        <v>701</v>
      </c>
      <c r="C4660" s="7" t="s">
        <v>3645</v>
      </c>
      <c r="D4660" s="7" t="s">
        <v>3646</v>
      </c>
      <c r="E4660" s="7" t="str">
        <f>"张元信"</f>
        <v>张元信</v>
      </c>
      <c r="F4660" s="7" t="str">
        <f t="shared" si="950"/>
        <v>男</v>
      </c>
      <c r="G4660" s="7" t="s">
        <v>3705</v>
      </c>
      <c r="H4660" s="8"/>
    </row>
    <row r="4661" ht="25" customHeight="1" spans="1:8">
      <c r="A4661" s="6">
        <v>4659</v>
      </c>
      <c r="B4661" s="7" t="str">
        <f t="shared" si="948"/>
        <v>701</v>
      </c>
      <c r="C4661" s="7" t="s">
        <v>3645</v>
      </c>
      <c r="D4661" s="7" t="s">
        <v>3646</v>
      </c>
      <c r="E4661" s="7" t="str">
        <f>"吕智宝"</f>
        <v>吕智宝</v>
      </c>
      <c r="F4661" s="7" t="str">
        <f t="shared" si="950"/>
        <v>男</v>
      </c>
      <c r="G4661" s="7" t="s">
        <v>3706</v>
      </c>
      <c r="H4661" s="8"/>
    </row>
    <row r="4662" ht="25" customHeight="1" spans="1:8">
      <c r="A4662" s="6">
        <v>4660</v>
      </c>
      <c r="B4662" s="7" t="str">
        <f t="shared" si="948"/>
        <v>701</v>
      </c>
      <c r="C4662" s="7" t="s">
        <v>3645</v>
      </c>
      <c r="D4662" s="7" t="s">
        <v>3646</v>
      </c>
      <c r="E4662" s="7" t="str">
        <f>"王永顺"</f>
        <v>王永顺</v>
      </c>
      <c r="F4662" s="7" t="str">
        <f t="shared" si="950"/>
        <v>男</v>
      </c>
      <c r="G4662" s="7" t="s">
        <v>3707</v>
      </c>
      <c r="H4662" s="8"/>
    </row>
    <row r="4663" ht="25" customHeight="1" spans="1:8">
      <c r="A4663" s="6">
        <v>4661</v>
      </c>
      <c r="B4663" s="7" t="str">
        <f t="shared" si="948"/>
        <v>701</v>
      </c>
      <c r="C4663" s="7" t="s">
        <v>3645</v>
      </c>
      <c r="D4663" s="7" t="s">
        <v>3646</v>
      </c>
      <c r="E4663" s="7" t="str">
        <f>"蔡西健"</f>
        <v>蔡西健</v>
      </c>
      <c r="F4663" s="7" t="str">
        <f t="shared" si="950"/>
        <v>男</v>
      </c>
      <c r="G4663" s="7" t="s">
        <v>239</v>
      </c>
      <c r="H4663" s="8"/>
    </row>
    <row r="4664" ht="25" customHeight="1" spans="1:8">
      <c r="A4664" s="6">
        <v>4662</v>
      </c>
      <c r="B4664" s="7" t="str">
        <f t="shared" si="948"/>
        <v>701</v>
      </c>
      <c r="C4664" s="7" t="s">
        <v>3645</v>
      </c>
      <c r="D4664" s="7" t="s">
        <v>3646</v>
      </c>
      <c r="E4664" s="7" t="str">
        <f>"吴茂香"</f>
        <v>吴茂香</v>
      </c>
      <c r="F4664" s="7" t="str">
        <f>"女"</f>
        <v>女</v>
      </c>
      <c r="G4664" s="7" t="s">
        <v>3708</v>
      </c>
      <c r="H4664" s="8"/>
    </row>
    <row r="4665" ht="25" customHeight="1" spans="1:8">
      <c r="A4665" s="6">
        <v>4663</v>
      </c>
      <c r="B4665" s="7" t="str">
        <f t="shared" si="948"/>
        <v>701</v>
      </c>
      <c r="C4665" s="7" t="s">
        <v>3645</v>
      </c>
      <c r="D4665" s="7" t="s">
        <v>3646</v>
      </c>
      <c r="E4665" s="7" t="str">
        <f>"张胜丹"</f>
        <v>张胜丹</v>
      </c>
      <c r="F4665" s="7" t="str">
        <f t="shared" ref="F4665:F4672" si="951">"男"</f>
        <v>男</v>
      </c>
      <c r="G4665" s="7" t="s">
        <v>3709</v>
      </c>
      <c r="H4665" s="8"/>
    </row>
    <row r="4666" ht="25" customHeight="1" spans="1:8">
      <c r="A4666" s="6">
        <v>4664</v>
      </c>
      <c r="B4666" s="7" t="str">
        <f t="shared" si="948"/>
        <v>701</v>
      </c>
      <c r="C4666" s="7" t="s">
        <v>3645</v>
      </c>
      <c r="D4666" s="7" t="s">
        <v>3646</v>
      </c>
      <c r="E4666" s="7" t="str">
        <f>"吴贤飘"</f>
        <v>吴贤飘</v>
      </c>
      <c r="F4666" s="7" t="str">
        <f t="shared" si="951"/>
        <v>男</v>
      </c>
      <c r="G4666" s="7" t="s">
        <v>3710</v>
      </c>
      <c r="H4666" s="8"/>
    </row>
    <row r="4667" ht="25" customHeight="1" spans="1:8">
      <c r="A4667" s="6">
        <v>4665</v>
      </c>
      <c r="B4667" s="7" t="str">
        <f t="shared" si="948"/>
        <v>701</v>
      </c>
      <c r="C4667" s="7" t="s">
        <v>3645</v>
      </c>
      <c r="D4667" s="7" t="s">
        <v>3646</v>
      </c>
      <c r="E4667" s="7" t="str">
        <f>"文达"</f>
        <v>文达</v>
      </c>
      <c r="F4667" s="7" t="str">
        <f t="shared" si="951"/>
        <v>男</v>
      </c>
      <c r="G4667" s="7" t="s">
        <v>15</v>
      </c>
      <c r="H4667" s="8"/>
    </row>
    <row r="4668" ht="25" customHeight="1" spans="1:8">
      <c r="A4668" s="6">
        <v>4666</v>
      </c>
      <c r="B4668" s="7" t="str">
        <f t="shared" si="948"/>
        <v>701</v>
      </c>
      <c r="C4668" s="7" t="s">
        <v>3645</v>
      </c>
      <c r="D4668" s="7" t="s">
        <v>3646</v>
      </c>
      <c r="E4668" s="7" t="str">
        <f>"冉威"</f>
        <v>冉威</v>
      </c>
      <c r="F4668" s="7" t="str">
        <f t="shared" si="951"/>
        <v>男</v>
      </c>
      <c r="G4668" s="7" t="s">
        <v>3711</v>
      </c>
      <c r="H4668" s="8"/>
    </row>
    <row r="4669" ht="25" customHeight="1" spans="1:8">
      <c r="A4669" s="6">
        <v>4667</v>
      </c>
      <c r="B4669" s="7" t="str">
        <f t="shared" si="948"/>
        <v>701</v>
      </c>
      <c r="C4669" s="7" t="s">
        <v>3645</v>
      </c>
      <c r="D4669" s="7" t="s">
        <v>3646</v>
      </c>
      <c r="E4669" s="7" t="str">
        <f>"任雪虎"</f>
        <v>任雪虎</v>
      </c>
      <c r="F4669" s="7" t="str">
        <f t="shared" si="951"/>
        <v>男</v>
      </c>
      <c r="G4669" s="7" t="s">
        <v>3712</v>
      </c>
      <c r="H4669" s="8"/>
    </row>
    <row r="4670" ht="25" customHeight="1" spans="1:8">
      <c r="A4670" s="6">
        <v>4668</v>
      </c>
      <c r="B4670" s="7" t="str">
        <f t="shared" si="948"/>
        <v>701</v>
      </c>
      <c r="C4670" s="7" t="s">
        <v>3645</v>
      </c>
      <c r="D4670" s="7" t="s">
        <v>3646</v>
      </c>
      <c r="E4670" s="7" t="str">
        <f>"王彬"</f>
        <v>王彬</v>
      </c>
      <c r="F4670" s="7" t="str">
        <f t="shared" si="951"/>
        <v>男</v>
      </c>
      <c r="G4670" s="7" t="s">
        <v>1911</v>
      </c>
      <c r="H4670" s="8"/>
    </row>
    <row r="4671" ht="25" customHeight="1" spans="1:8">
      <c r="A4671" s="6">
        <v>4669</v>
      </c>
      <c r="B4671" s="7" t="str">
        <f t="shared" si="948"/>
        <v>701</v>
      </c>
      <c r="C4671" s="7" t="s">
        <v>3645</v>
      </c>
      <c r="D4671" s="7" t="s">
        <v>3646</v>
      </c>
      <c r="E4671" s="7" t="str">
        <f>"刘阿兴"</f>
        <v>刘阿兴</v>
      </c>
      <c r="F4671" s="7" t="str">
        <f t="shared" si="951"/>
        <v>男</v>
      </c>
      <c r="G4671" s="7" t="s">
        <v>3713</v>
      </c>
      <c r="H4671" s="8"/>
    </row>
    <row r="4672" ht="25" customHeight="1" spans="1:8">
      <c r="A4672" s="6">
        <v>4670</v>
      </c>
      <c r="B4672" s="7" t="str">
        <f t="shared" si="948"/>
        <v>701</v>
      </c>
      <c r="C4672" s="7" t="s">
        <v>3645</v>
      </c>
      <c r="D4672" s="7" t="s">
        <v>3646</v>
      </c>
      <c r="E4672" s="7" t="str">
        <f>"钟前锐"</f>
        <v>钟前锐</v>
      </c>
      <c r="F4672" s="7" t="str">
        <f t="shared" si="951"/>
        <v>男</v>
      </c>
      <c r="G4672" s="7" t="s">
        <v>3365</v>
      </c>
      <c r="H4672" s="8"/>
    </row>
    <row r="4673" ht="25" customHeight="1" spans="1:8">
      <c r="A4673" s="6">
        <v>4671</v>
      </c>
      <c r="B4673" s="7" t="str">
        <f t="shared" si="948"/>
        <v>701</v>
      </c>
      <c r="C4673" s="7" t="s">
        <v>3645</v>
      </c>
      <c r="D4673" s="7" t="s">
        <v>3646</v>
      </c>
      <c r="E4673" s="7" t="str">
        <f>"柏馨"</f>
        <v>柏馨</v>
      </c>
      <c r="F4673" s="7" t="str">
        <f>"女"</f>
        <v>女</v>
      </c>
      <c r="G4673" s="7" t="s">
        <v>3714</v>
      </c>
      <c r="H4673" s="8"/>
    </row>
    <row r="4674" ht="25" customHeight="1" spans="1:8">
      <c r="A4674" s="6">
        <v>4672</v>
      </c>
      <c r="B4674" s="7" t="str">
        <f t="shared" si="948"/>
        <v>701</v>
      </c>
      <c r="C4674" s="7" t="s">
        <v>3645</v>
      </c>
      <c r="D4674" s="7" t="s">
        <v>3646</v>
      </c>
      <c r="E4674" s="7" t="str">
        <f>"李智泽"</f>
        <v>李智泽</v>
      </c>
      <c r="F4674" s="7" t="str">
        <f t="shared" ref="F4674:F4686" si="952">"男"</f>
        <v>男</v>
      </c>
      <c r="G4674" s="7" t="s">
        <v>901</v>
      </c>
      <c r="H4674" s="8"/>
    </row>
    <row r="4675" ht="25" customHeight="1" spans="1:8">
      <c r="A4675" s="6">
        <v>4673</v>
      </c>
      <c r="B4675" s="7" t="str">
        <f t="shared" si="948"/>
        <v>701</v>
      </c>
      <c r="C4675" s="7" t="s">
        <v>3645</v>
      </c>
      <c r="D4675" s="7" t="s">
        <v>3646</v>
      </c>
      <c r="E4675" s="7" t="str">
        <f>"林道政"</f>
        <v>林道政</v>
      </c>
      <c r="F4675" s="7" t="str">
        <f t="shared" si="952"/>
        <v>男</v>
      </c>
      <c r="G4675" s="7" t="s">
        <v>3715</v>
      </c>
      <c r="H4675" s="8"/>
    </row>
    <row r="4676" ht="25" customHeight="1" spans="1:8">
      <c r="A4676" s="6">
        <v>4674</v>
      </c>
      <c r="B4676" s="7" t="str">
        <f t="shared" si="948"/>
        <v>701</v>
      </c>
      <c r="C4676" s="7" t="s">
        <v>3645</v>
      </c>
      <c r="D4676" s="7" t="s">
        <v>3646</v>
      </c>
      <c r="E4676" s="7" t="str">
        <f>"林明夏"</f>
        <v>林明夏</v>
      </c>
      <c r="F4676" s="7" t="str">
        <f t="shared" si="952"/>
        <v>男</v>
      </c>
      <c r="G4676" s="7" t="s">
        <v>3716</v>
      </c>
      <c r="H4676" s="8"/>
    </row>
    <row r="4677" ht="25" customHeight="1" spans="1:8">
      <c r="A4677" s="6">
        <v>4675</v>
      </c>
      <c r="B4677" s="7" t="str">
        <f t="shared" si="948"/>
        <v>701</v>
      </c>
      <c r="C4677" s="7" t="s">
        <v>3645</v>
      </c>
      <c r="D4677" s="7" t="s">
        <v>3646</v>
      </c>
      <c r="E4677" s="7" t="str">
        <f>"陈方伯"</f>
        <v>陈方伯</v>
      </c>
      <c r="F4677" s="7" t="str">
        <f t="shared" si="952"/>
        <v>男</v>
      </c>
      <c r="G4677" s="7" t="s">
        <v>1119</v>
      </c>
      <c r="H4677" s="8"/>
    </row>
    <row r="4678" ht="25" customHeight="1" spans="1:8">
      <c r="A4678" s="6">
        <v>4676</v>
      </c>
      <c r="B4678" s="7" t="str">
        <f t="shared" si="948"/>
        <v>701</v>
      </c>
      <c r="C4678" s="7" t="s">
        <v>3645</v>
      </c>
      <c r="D4678" s="7" t="s">
        <v>3646</v>
      </c>
      <c r="E4678" s="7" t="str">
        <f>"王润"</f>
        <v>王润</v>
      </c>
      <c r="F4678" s="7" t="str">
        <f t="shared" si="952"/>
        <v>男</v>
      </c>
      <c r="G4678" s="7" t="s">
        <v>3717</v>
      </c>
      <c r="H4678" s="8"/>
    </row>
    <row r="4679" ht="25" customHeight="1" spans="1:8">
      <c r="A4679" s="6">
        <v>4677</v>
      </c>
      <c r="B4679" s="7" t="str">
        <f t="shared" si="948"/>
        <v>701</v>
      </c>
      <c r="C4679" s="7" t="s">
        <v>3645</v>
      </c>
      <c r="D4679" s="7" t="s">
        <v>3646</v>
      </c>
      <c r="E4679" s="7" t="str">
        <f>"刘少弟"</f>
        <v>刘少弟</v>
      </c>
      <c r="F4679" s="7" t="str">
        <f t="shared" si="952"/>
        <v>男</v>
      </c>
      <c r="G4679" s="7" t="s">
        <v>3718</v>
      </c>
      <c r="H4679" s="8"/>
    </row>
    <row r="4680" ht="25" customHeight="1" spans="1:8">
      <c r="A4680" s="6">
        <v>4678</v>
      </c>
      <c r="B4680" s="7" t="str">
        <f t="shared" si="948"/>
        <v>701</v>
      </c>
      <c r="C4680" s="7" t="s">
        <v>3645</v>
      </c>
      <c r="D4680" s="7" t="s">
        <v>3646</v>
      </c>
      <c r="E4680" s="7" t="str">
        <f>"邱名程"</f>
        <v>邱名程</v>
      </c>
      <c r="F4680" s="7" t="str">
        <f t="shared" si="952"/>
        <v>男</v>
      </c>
      <c r="G4680" s="7" t="s">
        <v>948</v>
      </c>
      <c r="H4680" s="8"/>
    </row>
    <row r="4681" ht="25" customHeight="1" spans="1:8">
      <c r="A4681" s="6">
        <v>4679</v>
      </c>
      <c r="B4681" s="7" t="str">
        <f t="shared" si="948"/>
        <v>701</v>
      </c>
      <c r="C4681" s="7" t="s">
        <v>3645</v>
      </c>
      <c r="D4681" s="7" t="s">
        <v>3646</v>
      </c>
      <c r="E4681" s="7" t="str">
        <f>"黄毓敏"</f>
        <v>黄毓敏</v>
      </c>
      <c r="F4681" s="7" t="str">
        <f t="shared" si="952"/>
        <v>男</v>
      </c>
      <c r="G4681" s="7" t="s">
        <v>193</v>
      </c>
      <c r="H4681" s="8"/>
    </row>
    <row r="4682" ht="25" customHeight="1" spans="1:8">
      <c r="A4682" s="6">
        <v>4680</v>
      </c>
      <c r="B4682" s="7" t="str">
        <f t="shared" si="948"/>
        <v>701</v>
      </c>
      <c r="C4682" s="7" t="s">
        <v>3645</v>
      </c>
      <c r="D4682" s="7" t="s">
        <v>3646</v>
      </c>
      <c r="E4682" s="7" t="str">
        <f>"陈文杰"</f>
        <v>陈文杰</v>
      </c>
      <c r="F4682" s="7" t="str">
        <f t="shared" si="952"/>
        <v>男</v>
      </c>
      <c r="G4682" s="7" t="s">
        <v>3719</v>
      </c>
      <c r="H4682" s="8"/>
    </row>
    <row r="4683" ht="25" customHeight="1" spans="1:8">
      <c r="A4683" s="6">
        <v>4681</v>
      </c>
      <c r="B4683" s="7" t="str">
        <f t="shared" si="948"/>
        <v>701</v>
      </c>
      <c r="C4683" s="7" t="s">
        <v>3645</v>
      </c>
      <c r="D4683" s="7" t="s">
        <v>3646</v>
      </c>
      <c r="E4683" s="7" t="str">
        <f>"黄育钦"</f>
        <v>黄育钦</v>
      </c>
      <c r="F4683" s="7" t="str">
        <f t="shared" si="952"/>
        <v>男</v>
      </c>
      <c r="G4683" s="7" t="s">
        <v>3720</v>
      </c>
      <c r="H4683" s="8"/>
    </row>
    <row r="4684" ht="25" customHeight="1" spans="1:8">
      <c r="A4684" s="6">
        <v>4682</v>
      </c>
      <c r="B4684" s="7" t="str">
        <f t="shared" si="948"/>
        <v>701</v>
      </c>
      <c r="C4684" s="7" t="s">
        <v>3645</v>
      </c>
      <c r="D4684" s="7" t="s">
        <v>3646</v>
      </c>
      <c r="E4684" s="7" t="str">
        <f>"林传龙"</f>
        <v>林传龙</v>
      </c>
      <c r="F4684" s="7" t="str">
        <f t="shared" si="952"/>
        <v>男</v>
      </c>
      <c r="G4684" s="7" t="s">
        <v>3721</v>
      </c>
      <c r="H4684" s="8"/>
    </row>
    <row r="4685" ht="25" customHeight="1" spans="1:8">
      <c r="A4685" s="6">
        <v>4683</v>
      </c>
      <c r="B4685" s="7" t="str">
        <f t="shared" si="948"/>
        <v>701</v>
      </c>
      <c r="C4685" s="7" t="s">
        <v>3645</v>
      </c>
      <c r="D4685" s="7" t="s">
        <v>3646</v>
      </c>
      <c r="E4685" s="7" t="str">
        <f>"黄付庄"</f>
        <v>黄付庄</v>
      </c>
      <c r="F4685" s="7" t="str">
        <f t="shared" si="952"/>
        <v>男</v>
      </c>
      <c r="G4685" s="7" t="s">
        <v>3722</v>
      </c>
      <c r="H4685" s="8"/>
    </row>
    <row r="4686" ht="25" customHeight="1" spans="1:8">
      <c r="A4686" s="6">
        <v>4684</v>
      </c>
      <c r="B4686" s="7" t="str">
        <f t="shared" si="948"/>
        <v>701</v>
      </c>
      <c r="C4686" s="7" t="s">
        <v>3645</v>
      </c>
      <c r="D4686" s="7" t="s">
        <v>3646</v>
      </c>
      <c r="E4686" s="7" t="str">
        <f>"何灜洲"</f>
        <v>何灜洲</v>
      </c>
      <c r="F4686" s="7" t="str">
        <f t="shared" si="952"/>
        <v>男</v>
      </c>
      <c r="G4686" s="7" t="s">
        <v>3723</v>
      </c>
      <c r="H4686" s="8"/>
    </row>
    <row r="4687" ht="25" customHeight="1" spans="1:8">
      <c r="A4687" s="6">
        <v>4685</v>
      </c>
      <c r="B4687" s="7" t="str">
        <f t="shared" si="948"/>
        <v>701</v>
      </c>
      <c r="C4687" s="7" t="s">
        <v>3645</v>
      </c>
      <c r="D4687" s="7" t="s">
        <v>3646</v>
      </c>
      <c r="E4687" s="7" t="str">
        <f>"杨婷婷"</f>
        <v>杨婷婷</v>
      </c>
      <c r="F4687" s="7" t="str">
        <f>"女"</f>
        <v>女</v>
      </c>
      <c r="G4687" s="7" t="s">
        <v>3724</v>
      </c>
      <c r="H4687" s="8"/>
    </row>
    <row r="4688" ht="25" customHeight="1" spans="1:8">
      <c r="A4688" s="6">
        <v>4686</v>
      </c>
      <c r="B4688" s="7" t="str">
        <f t="shared" si="948"/>
        <v>701</v>
      </c>
      <c r="C4688" s="7" t="s">
        <v>3645</v>
      </c>
      <c r="D4688" s="7" t="s">
        <v>3646</v>
      </c>
      <c r="E4688" s="7" t="str">
        <f>"陈华伟"</f>
        <v>陈华伟</v>
      </c>
      <c r="F4688" s="7" t="str">
        <f t="shared" ref="F4688:F4697" si="953">"男"</f>
        <v>男</v>
      </c>
      <c r="G4688" s="7" t="s">
        <v>3697</v>
      </c>
      <c r="H4688" s="8"/>
    </row>
    <row r="4689" ht="25" customHeight="1" spans="1:8">
      <c r="A4689" s="6">
        <v>4687</v>
      </c>
      <c r="B4689" s="7" t="str">
        <f t="shared" si="948"/>
        <v>701</v>
      </c>
      <c r="C4689" s="7" t="s">
        <v>3645</v>
      </c>
      <c r="D4689" s="7" t="s">
        <v>3646</v>
      </c>
      <c r="E4689" s="7" t="str">
        <f>"林师文"</f>
        <v>林师文</v>
      </c>
      <c r="F4689" s="7" t="str">
        <f t="shared" si="953"/>
        <v>男</v>
      </c>
      <c r="G4689" s="7" t="s">
        <v>3725</v>
      </c>
      <c r="H4689" s="8"/>
    </row>
    <row r="4690" ht="25" customHeight="1" spans="1:8">
      <c r="A4690" s="6">
        <v>4688</v>
      </c>
      <c r="B4690" s="7" t="str">
        <f t="shared" si="948"/>
        <v>701</v>
      </c>
      <c r="C4690" s="7" t="s">
        <v>3645</v>
      </c>
      <c r="D4690" s="7" t="s">
        <v>3646</v>
      </c>
      <c r="E4690" s="7" t="str">
        <f>"王哲勇"</f>
        <v>王哲勇</v>
      </c>
      <c r="F4690" s="7" t="str">
        <f t="shared" si="953"/>
        <v>男</v>
      </c>
      <c r="G4690" s="7" t="s">
        <v>598</v>
      </c>
      <c r="H4690" s="8"/>
    </row>
    <row r="4691" ht="25" customHeight="1" spans="1:8">
      <c r="A4691" s="6">
        <v>4689</v>
      </c>
      <c r="B4691" s="7" t="str">
        <f t="shared" si="948"/>
        <v>701</v>
      </c>
      <c r="C4691" s="7" t="s">
        <v>3645</v>
      </c>
      <c r="D4691" s="7" t="s">
        <v>3646</v>
      </c>
      <c r="E4691" s="7" t="str">
        <f>"冯祥敏"</f>
        <v>冯祥敏</v>
      </c>
      <c r="F4691" s="7" t="str">
        <f t="shared" si="953"/>
        <v>男</v>
      </c>
      <c r="G4691" s="7" t="s">
        <v>968</v>
      </c>
      <c r="H4691" s="8"/>
    </row>
    <row r="4692" ht="25" customHeight="1" spans="1:8">
      <c r="A4692" s="6">
        <v>4690</v>
      </c>
      <c r="B4692" s="7" t="str">
        <f t="shared" si="948"/>
        <v>701</v>
      </c>
      <c r="C4692" s="7" t="s">
        <v>3645</v>
      </c>
      <c r="D4692" s="7" t="s">
        <v>3646</v>
      </c>
      <c r="E4692" s="7" t="str">
        <f>"田义成"</f>
        <v>田义成</v>
      </c>
      <c r="F4692" s="7" t="str">
        <f t="shared" si="953"/>
        <v>男</v>
      </c>
      <c r="G4692" s="7" t="s">
        <v>3726</v>
      </c>
      <c r="H4692" s="8"/>
    </row>
    <row r="4693" ht="25" customHeight="1" spans="1:8">
      <c r="A4693" s="6">
        <v>4691</v>
      </c>
      <c r="B4693" s="7" t="str">
        <f t="shared" si="948"/>
        <v>701</v>
      </c>
      <c r="C4693" s="7" t="s">
        <v>3645</v>
      </c>
      <c r="D4693" s="7" t="s">
        <v>3646</v>
      </c>
      <c r="E4693" s="7" t="str">
        <f>"胡琦"</f>
        <v>胡琦</v>
      </c>
      <c r="F4693" s="7" t="str">
        <f t="shared" si="953"/>
        <v>男</v>
      </c>
      <c r="G4693" s="7" t="s">
        <v>3727</v>
      </c>
      <c r="H4693" s="8"/>
    </row>
    <row r="4694" ht="25" customHeight="1" spans="1:8">
      <c r="A4694" s="6">
        <v>4692</v>
      </c>
      <c r="B4694" s="7" t="str">
        <f t="shared" si="948"/>
        <v>701</v>
      </c>
      <c r="C4694" s="7" t="s">
        <v>3645</v>
      </c>
      <c r="D4694" s="7" t="s">
        <v>3646</v>
      </c>
      <c r="E4694" s="7" t="str">
        <f>"戴恩明"</f>
        <v>戴恩明</v>
      </c>
      <c r="F4694" s="7" t="str">
        <f t="shared" si="953"/>
        <v>男</v>
      </c>
      <c r="G4694" s="7" t="s">
        <v>3728</v>
      </c>
      <c r="H4694" s="8"/>
    </row>
    <row r="4695" ht="25" customHeight="1" spans="1:8">
      <c r="A4695" s="6">
        <v>4693</v>
      </c>
      <c r="B4695" s="7" t="str">
        <f t="shared" si="948"/>
        <v>701</v>
      </c>
      <c r="C4695" s="7" t="s">
        <v>3645</v>
      </c>
      <c r="D4695" s="7" t="s">
        <v>3646</v>
      </c>
      <c r="E4695" s="7" t="str">
        <f>"陈国敏"</f>
        <v>陈国敏</v>
      </c>
      <c r="F4695" s="7" t="str">
        <f t="shared" si="953"/>
        <v>男</v>
      </c>
      <c r="G4695" s="7" t="s">
        <v>3066</v>
      </c>
      <c r="H4695" s="8"/>
    </row>
    <row r="4696" ht="25" customHeight="1" spans="1:8">
      <c r="A4696" s="6">
        <v>4694</v>
      </c>
      <c r="B4696" s="7" t="str">
        <f t="shared" si="948"/>
        <v>701</v>
      </c>
      <c r="C4696" s="7" t="s">
        <v>3645</v>
      </c>
      <c r="D4696" s="7" t="s">
        <v>3646</v>
      </c>
      <c r="E4696" s="7" t="str">
        <f>"符义勇"</f>
        <v>符义勇</v>
      </c>
      <c r="F4696" s="7" t="str">
        <f t="shared" si="953"/>
        <v>男</v>
      </c>
      <c r="G4696" s="7" t="s">
        <v>3729</v>
      </c>
      <c r="H4696" s="8"/>
    </row>
    <row r="4697" ht="25" customHeight="1" spans="1:8">
      <c r="A4697" s="6">
        <v>4695</v>
      </c>
      <c r="B4697" s="7" t="str">
        <f t="shared" si="948"/>
        <v>701</v>
      </c>
      <c r="C4697" s="7" t="s">
        <v>3645</v>
      </c>
      <c r="D4697" s="7" t="s">
        <v>3646</v>
      </c>
      <c r="E4697" s="7" t="str">
        <f>"陈世伟"</f>
        <v>陈世伟</v>
      </c>
      <c r="F4697" s="7" t="str">
        <f t="shared" si="953"/>
        <v>男</v>
      </c>
      <c r="G4697" s="7" t="s">
        <v>3730</v>
      </c>
      <c r="H4697" s="8"/>
    </row>
    <row r="4698" ht="25" customHeight="1" spans="1:8">
      <c r="A4698" s="6">
        <v>4696</v>
      </c>
      <c r="B4698" s="7" t="str">
        <f t="shared" si="948"/>
        <v>701</v>
      </c>
      <c r="C4698" s="7" t="s">
        <v>3645</v>
      </c>
      <c r="D4698" s="7" t="s">
        <v>3646</v>
      </c>
      <c r="E4698" s="7" t="str">
        <f>"杨函青"</f>
        <v>杨函青</v>
      </c>
      <c r="F4698" s="7" t="str">
        <f>"女"</f>
        <v>女</v>
      </c>
      <c r="G4698" s="7" t="s">
        <v>3731</v>
      </c>
      <c r="H4698" s="8"/>
    </row>
    <row r="4699" ht="25" customHeight="1" spans="1:8">
      <c r="A4699" s="6">
        <v>4697</v>
      </c>
      <c r="B4699" s="7" t="str">
        <f t="shared" si="948"/>
        <v>701</v>
      </c>
      <c r="C4699" s="7" t="s">
        <v>3645</v>
      </c>
      <c r="D4699" s="7" t="s">
        <v>3646</v>
      </c>
      <c r="E4699" s="7" t="str">
        <f>"冯宝宇"</f>
        <v>冯宝宇</v>
      </c>
      <c r="F4699" s="7" t="str">
        <f t="shared" ref="F4699:F4718" si="954">"男"</f>
        <v>男</v>
      </c>
      <c r="G4699" s="7" t="s">
        <v>3732</v>
      </c>
      <c r="H4699" s="8"/>
    </row>
    <row r="4700" ht="25" customHeight="1" spans="1:8">
      <c r="A4700" s="6">
        <v>4698</v>
      </c>
      <c r="B4700" s="7" t="str">
        <f t="shared" si="948"/>
        <v>701</v>
      </c>
      <c r="C4700" s="7" t="s">
        <v>3645</v>
      </c>
      <c r="D4700" s="7" t="s">
        <v>3646</v>
      </c>
      <c r="E4700" s="7" t="str">
        <f>"钟桥亮"</f>
        <v>钟桥亮</v>
      </c>
      <c r="F4700" s="7" t="str">
        <f t="shared" si="954"/>
        <v>男</v>
      </c>
      <c r="G4700" s="7" t="s">
        <v>3233</v>
      </c>
      <c r="H4700" s="8"/>
    </row>
    <row r="4701" ht="25" customHeight="1" spans="1:8">
      <c r="A4701" s="6">
        <v>4699</v>
      </c>
      <c r="B4701" s="7" t="str">
        <f t="shared" si="948"/>
        <v>701</v>
      </c>
      <c r="C4701" s="7" t="s">
        <v>3645</v>
      </c>
      <c r="D4701" s="7" t="s">
        <v>3646</v>
      </c>
      <c r="E4701" s="7" t="str">
        <f>"王先翔"</f>
        <v>王先翔</v>
      </c>
      <c r="F4701" s="7" t="str">
        <f t="shared" si="954"/>
        <v>男</v>
      </c>
      <c r="G4701" s="7" t="s">
        <v>3733</v>
      </c>
      <c r="H4701" s="8"/>
    </row>
    <row r="4702" ht="25" customHeight="1" spans="1:8">
      <c r="A4702" s="6">
        <v>4700</v>
      </c>
      <c r="B4702" s="7" t="str">
        <f t="shared" si="948"/>
        <v>701</v>
      </c>
      <c r="C4702" s="7" t="s">
        <v>3645</v>
      </c>
      <c r="D4702" s="7" t="s">
        <v>3646</v>
      </c>
      <c r="E4702" s="7" t="str">
        <f>"潘家胜"</f>
        <v>潘家胜</v>
      </c>
      <c r="F4702" s="7" t="str">
        <f t="shared" si="954"/>
        <v>男</v>
      </c>
      <c r="G4702" s="7" t="s">
        <v>3734</v>
      </c>
      <c r="H4702" s="8"/>
    </row>
    <row r="4703" ht="25" customHeight="1" spans="1:8">
      <c r="A4703" s="6">
        <v>4701</v>
      </c>
      <c r="B4703" s="7" t="str">
        <f t="shared" si="948"/>
        <v>701</v>
      </c>
      <c r="C4703" s="7" t="s">
        <v>3645</v>
      </c>
      <c r="D4703" s="7" t="s">
        <v>3646</v>
      </c>
      <c r="E4703" s="7" t="str">
        <f>"董林杰"</f>
        <v>董林杰</v>
      </c>
      <c r="F4703" s="7" t="str">
        <f t="shared" si="954"/>
        <v>男</v>
      </c>
      <c r="G4703" s="7" t="s">
        <v>3735</v>
      </c>
      <c r="H4703" s="8"/>
    </row>
    <row r="4704" ht="25" customHeight="1" spans="1:8">
      <c r="A4704" s="6">
        <v>4702</v>
      </c>
      <c r="B4704" s="7" t="str">
        <f t="shared" si="948"/>
        <v>701</v>
      </c>
      <c r="C4704" s="7" t="s">
        <v>3645</v>
      </c>
      <c r="D4704" s="7" t="s">
        <v>3646</v>
      </c>
      <c r="E4704" s="7" t="str">
        <f>"谢发彬"</f>
        <v>谢发彬</v>
      </c>
      <c r="F4704" s="7" t="str">
        <f t="shared" si="954"/>
        <v>男</v>
      </c>
      <c r="G4704" s="7" t="s">
        <v>1946</v>
      </c>
      <c r="H4704" s="8"/>
    </row>
    <row r="4705" ht="25" customHeight="1" spans="1:8">
      <c r="A4705" s="6">
        <v>4703</v>
      </c>
      <c r="B4705" s="7" t="str">
        <f t="shared" ref="B4705:B4758" si="955">"701"</f>
        <v>701</v>
      </c>
      <c r="C4705" s="7" t="s">
        <v>3645</v>
      </c>
      <c r="D4705" s="7" t="s">
        <v>3646</v>
      </c>
      <c r="E4705" s="7" t="str">
        <f>"綦柏清"</f>
        <v>綦柏清</v>
      </c>
      <c r="F4705" s="7" t="str">
        <f t="shared" si="954"/>
        <v>男</v>
      </c>
      <c r="G4705" s="7" t="s">
        <v>3736</v>
      </c>
      <c r="H4705" s="8"/>
    </row>
    <row r="4706" ht="25" customHeight="1" spans="1:8">
      <c r="A4706" s="6">
        <v>4704</v>
      </c>
      <c r="B4706" s="7" t="str">
        <f t="shared" si="955"/>
        <v>701</v>
      </c>
      <c r="C4706" s="7" t="s">
        <v>3645</v>
      </c>
      <c r="D4706" s="7" t="s">
        <v>3646</v>
      </c>
      <c r="E4706" s="7" t="str">
        <f>"胡冬兵"</f>
        <v>胡冬兵</v>
      </c>
      <c r="F4706" s="7" t="str">
        <f t="shared" si="954"/>
        <v>男</v>
      </c>
      <c r="G4706" s="7" t="s">
        <v>3737</v>
      </c>
      <c r="H4706" s="8"/>
    </row>
    <row r="4707" ht="25" customHeight="1" spans="1:8">
      <c r="A4707" s="6">
        <v>4705</v>
      </c>
      <c r="B4707" s="7" t="str">
        <f t="shared" si="955"/>
        <v>701</v>
      </c>
      <c r="C4707" s="7" t="s">
        <v>3645</v>
      </c>
      <c r="D4707" s="7" t="s">
        <v>3646</v>
      </c>
      <c r="E4707" s="7" t="str">
        <f>"王有亮"</f>
        <v>王有亮</v>
      </c>
      <c r="F4707" s="7" t="str">
        <f t="shared" si="954"/>
        <v>男</v>
      </c>
      <c r="G4707" s="7" t="s">
        <v>1226</v>
      </c>
      <c r="H4707" s="8"/>
    </row>
    <row r="4708" ht="25" customHeight="1" spans="1:8">
      <c r="A4708" s="6">
        <v>4706</v>
      </c>
      <c r="B4708" s="7" t="str">
        <f t="shared" si="955"/>
        <v>701</v>
      </c>
      <c r="C4708" s="7" t="s">
        <v>3645</v>
      </c>
      <c r="D4708" s="7" t="s">
        <v>3646</v>
      </c>
      <c r="E4708" s="7" t="str">
        <f>"符泰"</f>
        <v>符泰</v>
      </c>
      <c r="F4708" s="7" t="str">
        <f t="shared" si="954"/>
        <v>男</v>
      </c>
      <c r="G4708" s="7" t="s">
        <v>3738</v>
      </c>
      <c r="H4708" s="8"/>
    </row>
    <row r="4709" ht="25" customHeight="1" spans="1:8">
      <c r="A4709" s="6">
        <v>4707</v>
      </c>
      <c r="B4709" s="7" t="str">
        <f t="shared" si="955"/>
        <v>701</v>
      </c>
      <c r="C4709" s="7" t="s">
        <v>3645</v>
      </c>
      <c r="D4709" s="7" t="s">
        <v>3646</v>
      </c>
      <c r="E4709" s="7" t="str">
        <f>"胡瀚"</f>
        <v>胡瀚</v>
      </c>
      <c r="F4709" s="7" t="str">
        <f t="shared" si="954"/>
        <v>男</v>
      </c>
      <c r="G4709" s="7" t="s">
        <v>3739</v>
      </c>
      <c r="H4709" s="8"/>
    </row>
    <row r="4710" ht="25" customHeight="1" spans="1:8">
      <c r="A4710" s="6">
        <v>4708</v>
      </c>
      <c r="B4710" s="7" t="str">
        <f t="shared" si="955"/>
        <v>701</v>
      </c>
      <c r="C4710" s="7" t="s">
        <v>3645</v>
      </c>
      <c r="D4710" s="7" t="s">
        <v>3646</v>
      </c>
      <c r="E4710" s="7" t="str">
        <f>"林成龙"</f>
        <v>林成龙</v>
      </c>
      <c r="F4710" s="7" t="str">
        <f t="shared" si="954"/>
        <v>男</v>
      </c>
      <c r="G4710" s="7" t="s">
        <v>3740</v>
      </c>
      <c r="H4710" s="8"/>
    </row>
    <row r="4711" ht="25" customHeight="1" spans="1:8">
      <c r="A4711" s="6">
        <v>4709</v>
      </c>
      <c r="B4711" s="7" t="str">
        <f t="shared" si="955"/>
        <v>701</v>
      </c>
      <c r="C4711" s="7" t="s">
        <v>3645</v>
      </c>
      <c r="D4711" s="7" t="s">
        <v>3646</v>
      </c>
      <c r="E4711" s="7" t="str">
        <f>"吴淑力"</f>
        <v>吴淑力</v>
      </c>
      <c r="F4711" s="7" t="str">
        <f t="shared" si="954"/>
        <v>男</v>
      </c>
      <c r="G4711" s="7" t="s">
        <v>3131</v>
      </c>
      <c r="H4711" s="8"/>
    </row>
    <row r="4712" ht="25" customHeight="1" spans="1:8">
      <c r="A4712" s="6">
        <v>4710</v>
      </c>
      <c r="B4712" s="7" t="str">
        <f t="shared" si="955"/>
        <v>701</v>
      </c>
      <c r="C4712" s="7" t="s">
        <v>3645</v>
      </c>
      <c r="D4712" s="7" t="s">
        <v>3646</v>
      </c>
      <c r="E4712" s="7" t="str">
        <f>"肖海龙"</f>
        <v>肖海龙</v>
      </c>
      <c r="F4712" s="7" t="str">
        <f t="shared" si="954"/>
        <v>男</v>
      </c>
      <c r="G4712" s="7" t="s">
        <v>3741</v>
      </c>
      <c r="H4712" s="8"/>
    </row>
    <row r="4713" ht="25" customHeight="1" spans="1:8">
      <c r="A4713" s="6">
        <v>4711</v>
      </c>
      <c r="B4713" s="7" t="str">
        <f t="shared" si="955"/>
        <v>701</v>
      </c>
      <c r="C4713" s="7" t="s">
        <v>3645</v>
      </c>
      <c r="D4713" s="7" t="s">
        <v>3646</v>
      </c>
      <c r="E4713" s="7" t="str">
        <f>"王浩"</f>
        <v>王浩</v>
      </c>
      <c r="F4713" s="7" t="str">
        <f t="shared" si="954"/>
        <v>男</v>
      </c>
      <c r="G4713" s="7" t="s">
        <v>3701</v>
      </c>
      <c r="H4713" s="8"/>
    </row>
    <row r="4714" ht="25" customHeight="1" spans="1:8">
      <c r="A4714" s="6">
        <v>4712</v>
      </c>
      <c r="B4714" s="7" t="str">
        <f t="shared" si="955"/>
        <v>701</v>
      </c>
      <c r="C4714" s="7" t="s">
        <v>3645</v>
      </c>
      <c r="D4714" s="7" t="s">
        <v>3646</v>
      </c>
      <c r="E4714" s="7" t="str">
        <f>"李明甲"</f>
        <v>李明甲</v>
      </c>
      <c r="F4714" s="7" t="str">
        <f t="shared" si="954"/>
        <v>男</v>
      </c>
      <c r="G4714" s="7" t="s">
        <v>3742</v>
      </c>
      <c r="H4714" s="8"/>
    </row>
    <row r="4715" ht="25" customHeight="1" spans="1:8">
      <c r="A4715" s="6">
        <v>4713</v>
      </c>
      <c r="B4715" s="7" t="str">
        <f t="shared" si="955"/>
        <v>701</v>
      </c>
      <c r="C4715" s="7" t="s">
        <v>3645</v>
      </c>
      <c r="D4715" s="7" t="s">
        <v>3646</v>
      </c>
      <c r="E4715" s="7" t="str">
        <f>"邢炳豪"</f>
        <v>邢炳豪</v>
      </c>
      <c r="F4715" s="7" t="str">
        <f t="shared" si="954"/>
        <v>男</v>
      </c>
      <c r="G4715" s="7" t="s">
        <v>3743</v>
      </c>
      <c r="H4715" s="8"/>
    </row>
    <row r="4716" ht="25" customHeight="1" spans="1:8">
      <c r="A4716" s="6">
        <v>4714</v>
      </c>
      <c r="B4716" s="7" t="str">
        <f t="shared" si="955"/>
        <v>701</v>
      </c>
      <c r="C4716" s="7" t="s">
        <v>3645</v>
      </c>
      <c r="D4716" s="7" t="s">
        <v>3646</v>
      </c>
      <c r="E4716" s="7" t="str">
        <f>"代江恒"</f>
        <v>代江恒</v>
      </c>
      <c r="F4716" s="7" t="str">
        <f t="shared" si="954"/>
        <v>男</v>
      </c>
      <c r="G4716" s="7" t="s">
        <v>3744</v>
      </c>
      <c r="H4716" s="8"/>
    </row>
    <row r="4717" ht="25" customHeight="1" spans="1:8">
      <c r="A4717" s="6">
        <v>4715</v>
      </c>
      <c r="B4717" s="7" t="str">
        <f t="shared" si="955"/>
        <v>701</v>
      </c>
      <c r="C4717" s="7" t="s">
        <v>3645</v>
      </c>
      <c r="D4717" s="7" t="s">
        <v>3646</v>
      </c>
      <c r="E4717" s="7" t="str">
        <f>"陈文键"</f>
        <v>陈文键</v>
      </c>
      <c r="F4717" s="7" t="str">
        <f t="shared" si="954"/>
        <v>男</v>
      </c>
      <c r="G4717" s="7" t="s">
        <v>3745</v>
      </c>
      <c r="H4717" s="8"/>
    </row>
    <row r="4718" ht="25" customHeight="1" spans="1:8">
      <c r="A4718" s="6">
        <v>4716</v>
      </c>
      <c r="B4718" s="7" t="str">
        <f t="shared" si="955"/>
        <v>701</v>
      </c>
      <c r="C4718" s="7" t="s">
        <v>3645</v>
      </c>
      <c r="D4718" s="7" t="s">
        <v>3646</v>
      </c>
      <c r="E4718" s="7" t="str">
        <f>"刘天浩"</f>
        <v>刘天浩</v>
      </c>
      <c r="F4718" s="7" t="str">
        <f t="shared" si="954"/>
        <v>男</v>
      </c>
      <c r="G4718" s="7" t="s">
        <v>1709</v>
      </c>
      <c r="H4718" s="8"/>
    </row>
    <row r="4719" ht="25" customHeight="1" spans="1:8">
      <c r="A4719" s="6">
        <v>4717</v>
      </c>
      <c r="B4719" s="7" t="str">
        <f t="shared" si="955"/>
        <v>701</v>
      </c>
      <c r="C4719" s="7" t="s">
        <v>3645</v>
      </c>
      <c r="D4719" s="7" t="s">
        <v>3646</v>
      </c>
      <c r="E4719" s="7" t="str">
        <f>"符鲜汤"</f>
        <v>符鲜汤</v>
      </c>
      <c r="F4719" s="7" t="str">
        <f>"女"</f>
        <v>女</v>
      </c>
      <c r="G4719" s="7" t="s">
        <v>3746</v>
      </c>
      <c r="H4719" s="8"/>
    </row>
    <row r="4720" ht="25" customHeight="1" spans="1:8">
      <c r="A4720" s="6">
        <v>4718</v>
      </c>
      <c r="B4720" s="7" t="str">
        <f t="shared" si="955"/>
        <v>701</v>
      </c>
      <c r="C4720" s="7" t="s">
        <v>3645</v>
      </c>
      <c r="D4720" s="7" t="s">
        <v>3646</v>
      </c>
      <c r="E4720" s="7" t="str">
        <f>"金宽"</f>
        <v>金宽</v>
      </c>
      <c r="F4720" s="7" t="str">
        <f t="shared" ref="F4720:F4724" si="956">"男"</f>
        <v>男</v>
      </c>
      <c r="G4720" s="7" t="s">
        <v>3747</v>
      </c>
      <c r="H4720" s="8"/>
    </row>
    <row r="4721" ht="25" customHeight="1" spans="1:8">
      <c r="A4721" s="6">
        <v>4719</v>
      </c>
      <c r="B4721" s="7" t="str">
        <f t="shared" si="955"/>
        <v>701</v>
      </c>
      <c r="C4721" s="7" t="s">
        <v>3645</v>
      </c>
      <c r="D4721" s="7" t="s">
        <v>3646</v>
      </c>
      <c r="E4721" s="7" t="str">
        <f>"李树巍"</f>
        <v>李树巍</v>
      </c>
      <c r="F4721" s="7" t="str">
        <f t="shared" si="956"/>
        <v>男</v>
      </c>
      <c r="G4721" s="7" t="s">
        <v>3748</v>
      </c>
      <c r="H4721" s="8"/>
    </row>
    <row r="4722" ht="25" customHeight="1" spans="1:8">
      <c r="A4722" s="6">
        <v>4720</v>
      </c>
      <c r="B4722" s="7" t="str">
        <f t="shared" si="955"/>
        <v>701</v>
      </c>
      <c r="C4722" s="7" t="s">
        <v>3645</v>
      </c>
      <c r="D4722" s="7" t="s">
        <v>3646</v>
      </c>
      <c r="E4722" s="7" t="str">
        <f>"韩腾"</f>
        <v>韩腾</v>
      </c>
      <c r="F4722" s="7" t="str">
        <f t="shared" si="956"/>
        <v>男</v>
      </c>
      <c r="G4722" s="7" t="s">
        <v>3749</v>
      </c>
      <c r="H4722" s="8"/>
    </row>
    <row r="4723" ht="25" customHeight="1" spans="1:8">
      <c r="A4723" s="6">
        <v>4721</v>
      </c>
      <c r="B4723" s="7" t="str">
        <f t="shared" si="955"/>
        <v>701</v>
      </c>
      <c r="C4723" s="7" t="s">
        <v>3645</v>
      </c>
      <c r="D4723" s="7" t="s">
        <v>3646</v>
      </c>
      <c r="E4723" s="7" t="str">
        <f>"赵钧豪"</f>
        <v>赵钧豪</v>
      </c>
      <c r="F4723" s="7" t="str">
        <f t="shared" si="956"/>
        <v>男</v>
      </c>
      <c r="G4723" s="7" t="s">
        <v>3750</v>
      </c>
      <c r="H4723" s="8"/>
    </row>
    <row r="4724" ht="25" customHeight="1" spans="1:8">
      <c r="A4724" s="6">
        <v>4722</v>
      </c>
      <c r="B4724" s="7" t="str">
        <f t="shared" si="955"/>
        <v>701</v>
      </c>
      <c r="C4724" s="7" t="s">
        <v>3645</v>
      </c>
      <c r="D4724" s="7" t="s">
        <v>3646</v>
      </c>
      <c r="E4724" s="7" t="str">
        <f>"游林翰"</f>
        <v>游林翰</v>
      </c>
      <c r="F4724" s="7" t="str">
        <f t="shared" si="956"/>
        <v>男</v>
      </c>
      <c r="G4724" s="7" t="s">
        <v>3751</v>
      </c>
      <c r="H4724" s="8"/>
    </row>
    <row r="4725" ht="25" customHeight="1" spans="1:8">
      <c r="A4725" s="6">
        <v>4723</v>
      </c>
      <c r="B4725" s="7" t="str">
        <f t="shared" si="955"/>
        <v>701</v>
      </c>
      <c r="C4725" s="7" t="s">
        <v>3645</v>
      </c>
      <c r="D4725" s="7" t="s">
        <v>3646</v>
      </c>
      <c r="E4725" s="7" t="str">
        <f>"董紫玲"</f>
        <v>董紫玲</v>
      </c>
      <c r="F4725" s="7" t="str">
        <f t="shared" ref="F4725:F4730" si="957">"女"</f>
        <v>女</v>
      </c>
      <c r="G4725" s="7" t="s">
        <v>3752</v>
      </c>
      <c r="H4725" s="8"/>
    </row>
    <row r="4726" ht="25" customHeight="1" spans="1:8">
      <c r="A4726" s="6">
        <v>4724</v>
      </c>
      <c r="B4726" s="7" t="str">
        <f t="shared" si="955"/>
        <v>701</v>
      </c>
      <c r="C4726" s="7" t="s">
        <v>3645</v>
      </c>
      <c r="D4726" s="7" t="s">
        <v>3646</v>
      </c>
      <c r="E4726" s="7" t="str">
        <f>"洪秋洁"</f>
        <v>洪秋洁</v>
      </c>
      <c r="F4726" s="7" t="str">
        <f t="shared" si="957"/>
        <v>女</v>
      </c>
      <c r="G4726" s="7" t="s">
        <v>3753</v>
      </c>
      <c r="H4726" s="8"/>
    </row>
    <row r="4727" ht="25" customHeight="1" spans="1:8">
      <c r="A4727" s="6">
        <v>4725</v>
      </c>
      <c r="B4727" s="7" t="str">
        <f t="shared" si="955"/>
        <v>701</v>
      </c>
      <c r="C4727" s="7" t="s">
        <v>3645</v>
      </c>
      <c r="D4727" s="7" t="s">
        <v>3646</v>
      </c>
      <c r="E4727" s="7" t="str">
        <f>"肖丙璐"</f>
        <v>肖丙璐</v>
      </c>
      <c r="F4727" s="7" t="str">
        <f t="shared" ref="F4727:F4733" si="958">"男"</f>
        <v>男</v>
      </c>
      <c r="G4727" s="7" t="s">
        <v>3754</v>
      </c>
      <c r="H4727" s="8"/>
    </row>
    <row r="4728" ht="25" customHeight="1" spans="1:8">
      <c r="A4728" s="6">
        <v>4726</v>
      </c>
      <c r="B4728" s="7" t="str">
        <f t="shared" si="955"/>
        <v>701</v>
      </c>
      <c r="C4728" s="7" t="s">
        <v>3645</v>
      </c>
      <c r="D4728" s="7" t="s">
        <v>3646</v>
      </c>
      <c r="E4728" s="7" t="str">
        <f>"赵斌"</f>
        <v>赵斌</v>
      </c>
      <c r="F4728" s="7" t="str">
        <f t="shared" si="958"/>
        <v>男</v>
      </c>
      <c r="G4728" s="7" t="s">
        <v>3755</v>
      </c>
      <c r="H4728" s="8"/>
    </row>
    <row r="4729" ht="25" customHeight="1" spans="1:8">
      <c r="A4729" s="6">
        <v>4727</v>
      </c>
      <c r="B4729" s="7" t="str">
        <f t="shared" si="955"/>
        <v>701</v>
      </c>
      <c r="C4729" s="7" t="s">
        <v>3645</v>
      </c>
      <c r="D4729" s="7" t="s">
        <v>3646</v>
      </c>
      <c r="E4729" s="7" t="str">
        <f>"陈宇洁"</f>
        <v>陈宇洁</v>
      </c>
      <c r="F4729" s="7" t="str">
        <f t="shared" si="957"/>
        <v>女</v>
      </c>
      <c r="G4729" s="7" t="s">
        <v>3756</v>
      </c>
      <c r="H4729" s="8"/>
    </row>
    <row r="4730" ht="25" customHeight="1" spans="1:8">
      <c r="A4730" s="6">
        <v>4728</v>
      </c>
      <c r="B4730" s="7" t="str">
        <f t="shared" si="955"/>
        <v>701</v>
      </c>
      <c r="C4730" s="7" t="s">
        <v>3645</v>
      </c>
      <c r="D4730" s="7" t="s">
        <v>3646</v>
      </c>
      <c r="E4730" s="7" t="str">
        <f>"陈天丽"</f>
        <v>陈天丽</v>
      </c>
      <c r="F4730" s="7" t="str">
        <f t="shared" si="957"/>
        <v>女</v>
      </c>
      <c r="G4730" s="7" t="s">
        <v>3757</v>
      </c>
      <c r="H4730" s="8"/>
    </row>
    <row r="4731" ht="25" customHeight="1" spans="1:8">
      <c r="A4731" s="6">
        <v>4729</v>
      </c>
      <c r="B4731" s="7" t="str">
        <f t="shared" si="955"/>
        <v>701</v>
      </c>
      <c r="C4731" s="7" t="s">
        <v>3645</v>
      </c>
      <c r="D4731" s="7" t="s">
        <v>3646</v>
      </c>
      <c r="E4731" s="7" t="str">
        <f>"王英昌"</f>
        <v>王英昌</v>
      </c>
      <c r="F4731" s="7" t="str">
        <f t="shared" si="958"/>
        <v>男</v>
      </c>
      <c r="G4731" s="7" t="s">
        <v>3758</v>
      </c>
      <c r="H4731" s="8"/>
    </row>
    <row r="4732" ht="25" customHeight="1" spans="1:8">
      <c r="A4732" s="6">
        <v>4730</v>
      </c>
      <c r="B4732" s="7" t="str">
        <f t="shared" si="955"/>
        <v>701</v>
      </c>
      <c r="C4732" s="7" t="s">
        <v>3645</v>
      </c>
      <c r="D4732" s="7" t="s">
        <v>3646</v>
      </c>
      <c r="E4732" s="7" t="str">
        <f>"黎汉彬"</f>
        <v>黎汉彬</v>
      </c>
      <c r="F4732" s="7" t="str">
        <f t="shared" si="958"/>
        <v>男</v>
      </c>
      <c r="G4732" s="7" t="s">
        <v>622</v>
      </c>
      <c r="H4732" s="8"/>
    </row>
    <row r="4733" ht="25" customHeight="1" spans="1:8">
      <c r="A4733" s="6">
        <v>4731</v>
      </c>
      <c r="B4733" s="7" t="str">
        <f t="shared" si="955"/>
        <v>701</v>
      </c>
      <c r="C4733" s="7" t="s">
        <v>3645</v>
      </c>
      <c r="D4733" s="7" t="s">
        <v>3646</v>
      </c>
      <c r="E4733" s="7" t="str">
        <f>"王道鸿"</f>
        <v>王道鸿</v>
      </c>
      <c r="F4733" s="7" t="str">
        <f t="shared" si="958"/>
        <v>男</v>
      </c>
      <c r="G4733" s="7" t="s">
        <v>3759</v>
      </c>
      <c r="H4733" s="8"/>
    </row>
    <row r="4734" ht="25" customHeight="1" spans="1:8">
      <c r="A4734" s="6">
        <v>4732</v>
      </c>
      <c r="B4734" s="7" t="str">
        <f t="shared" si="955"/>
        <v>701</v>
      </c>
      <c r="C4734" s="7" t="s">
        <v>3645</v>
      </c>
      <c r="D4734" s="7" t="s">
        <v>3646</v>
      </c>
      <c r="E4734" s="7" t="str">
        <f>"李筱萌"</f>
        <v>李筱萌</v>
      </c>
      <c r="F4734" s="7" t="str">
        <f t="shared" ref="F4734:F4738" si="959">"女"</f>
        <v>女</v>
      </c>
      <c r="G4734" s="7" t="s">
        <v>3760</v>
      </c>
      <c r="H4734" s="8"/>
    </row>
    <row r="4735" ht="25" customHeight="1" spans="1:8">
      <c r="A4735" s="6">
        <v>4733</v>
      </c>
      <c r="B4735" s="7" t="str">
        <f t="shared" si="955"/>
        <v>701</v>
      </c>
      <c r="C4735" s="7" t="s">
        <v>3645</v>
      </c>
      <c r="D4735" s="7" t="s">
        <v>3646</v>
      </c>
      <c r="E4735" s="7" t="str">
        <f>"薛帆"</f>
        <v>薛帆</v>
      </c>
      <c r="F4735" s="7" t="str">
        <f t="shared" ref="F4735:F4739" si="960">"男"</f>
        <v>男</v>
      </c>
      <c r="G4735" s="7" t="s">
        <v>3761</v>
      </c>
      <c r="H4735" s="8"/>
    </row>
    <row r="4736" ht="25" customHeight="1" spans="1:8">
      <c r="A4736" s="6">
        <v>4734</v>
      </c>
      <c r="B4736" s="7" t="str">
        <f t="shared" si="955"/>
        <v>701</v>
      </c>
      <c r="C4736" s="7" t="s">
        <v>3645</v>
      </c>
      <c r="D4736" s="7" t="s">
        <v>3646</v>
      </c>
      <c r="E4736" s="7" t="str">
        <f>"施书政"</f>
        <v>施书政</v>
      </c>
      <c r="F4736" s="7" t="str">
        <f t="shared" si="960"/>
        <v>男</v>
      </c>
      <c r="G4736" s="7" t="s">
        <v>989</v>
      </c>
      <c r="H4736" s="8"/>
    </row>
    <row r="4737" ht="25" customHeight="1" spans="1:8">
      <c r="A4737" s="6">
        <v>4735</v>
      </c>
      <c r="B4737" s="7" t="str">
        <f t="shared" si="955"/>
        <v>701</v>
      </c>
      <c r="C4737" s="7" t="s">
        <v>3645</v>
      </c>
      <c r="D4737" s="7" t="s">
        <v>3646</v>
      </c>
      <c r="E4737" s="7" t="str">
        <f>"冯秋琼"</f>
        <v>冯秋琼</v>
      </c>
      <c r="F4737" s="7" t="str">
        <f t="shared" si="959"/>
        <v>女</v>
      </c>
      <c r="G4737" s="7" t="s">
        <v>3762</v>
      </c>
      <c r="H4737" s="8"/>
    </row>
    <row r="4738" ht="25" customHeight="1" spans="1:8">
      <c r="A4738" s="6">
        <v>4736</v>
      </c>
      <c r="B4738" s="7" t="str">
        <f t="shared" si="955"/>
        <v>701</v>
      </c>
      <c r="C4738" s="7" t="s">
        <v>3645</v>
      </c>
      <c r="D4738" s="7" t="s">
        <v>3646</v>
      </c>
      <c r="E4738" s="7" t="str">
        <f>"朱莹"</f>
        <v>朱莹</v>
      </c>
      <c r="F4738" s="7" t="str">
        <f t="shared" si="959"/>
        <v>女</v>
      </c>
      <c r="G4738" s="7" t="s">
        <v>3763</v>
      </c>
      <c r="H4738" s="8"/>
    </row>
    <row r="4739" ht="25" customHeight="1" spans="1:8">
      <c r="A4739" s="6">
        <v>4737</v>
      </c>
      <c r="B4739" s="7" t="str">
        <f t="shared" si="955"/>
        <v>701</v>
      </c>
      <c r="C4739" s="7" t="s">
        <v>3645</v>
      </c>
      <c r="D4739" s="7" t="s">
        <v>3646</v>
      </c>
      <c r="E4739" s="7" t="str">
        <f>"林瑞硕"</f>
        <v>林瑞硕</v>
      </c>
      <c r="F4739" s="7" t="str">
        <f t="shared" si="960"/>
        <v>男</v>
      </c>
      <c r="G4739" s="7" t="s">
        <v>3764</v>
      </c>
      <c r="H4739" s="8"/>
    </row>
    <row r="4740" ht="25" customHeight="1" spans="1:8">
      <c r="A4740" s="6">
        <v>4738</v>
      </c>
      <c r="B4740" s="7" t="str">
        <f t="shared" si="955"/>
        <v>701</v>
      </c>
      <c r="C4740" s="7" t="s">
        <v>3645</v>
      </c>
      <c r="D4740" s="7" t="s">
        <v>3646</v>
      </c>
      <c r="E4740" s="7" t="str">
        <f>"刘健仪"</f>
        <v>刘健仪</v>
      </c>
      <c r="F4740" s="7" t="str">
        <f t="shared" ref="F4740:F4744" si="961">"女"</f>
        <v>女</v>
      </c>
      <c r="G4740" s="7" t="s">
        <v>3765</v>
      </c>
      <c r="H4740" s="8"/>
    </row>
    <row r="4741" ht="25" customHeight="1" spans="1:8">
      <c r="A4741" s="6">
        <v>4739</v>
      </c>
      <c r="B4741" s="7" t="str">
        <f t="shared" si="955"/>
        <v>701</v>
      </c>
      <c r="C4741" s="7" t="s">
        <v>3645</v>
      </c>
      <c r="D4741" s="7" t="s">
        <v>3646</v>
      </c>
      <c r="E4741" s="7" t="str">
        <f>"李昌昊"</f>
        <v>李昌昊</v>
      </c>
      <c r="F4741" s="7" t="str">
        <f t="shared" ref="F4741:F4750" si="962">"男"</f>
        <v>男</v>
      </c>
      <c r="G4741" s="7" t="s">
        <v>3766</v>
      </c>
      <c r="H4741" s="8"/>
    </row>
    <row r="4742" ht="25" customHeight="1" spans="1:8">
      <c r="A4742" s="6">
        <v>4740</v>
      </c>
      <c r="B4742" s="7" t="str">
        <f t="shared" si="955"/>
        <v>701</v>
      </c>
      <c r="C4742" s="7" t="s">
        <v>3645</v>
      </c>
      <c r="D4742" s="7" t="s">
        <v>3646</v>
      </c>
      <c r="E4742" s="7" t="str">
        <f>"邢青云"</f>
        <v>邢青云</v>
      </c>
      <c r="F4742" s="7" t="str">
        <f t="shared" si="961"/>
        <v>女</v>
      </c>
      <c r="G4742" s="7" t="s">
        <v>343</v>
      </c>
      <c r="H4742" s="8"/>
    </row>
    <row r="4743" ht="25" customHeight="1" spans="1:8">
      <c r="A4743" s="6">
        <v>4741</v>
      </c>
      <c r="B4743" s="7" t="str">
        <f t="shared" si="955"/>
        <v>701</v>
      </c>
      <c r="C4743" s="7" t="s">
        <v>3645</v>
      </c>
      <c r="D4743" s="7" t="s">
        <v>3646</v>
      </c>
      <c r="E4743" s="7" t="str">
        <f>"江珊"</f>
        <v>江珊</v>
      </c>
      <c r="F4743" s="7" t="str">
        <f t="shared" si="961"/>
        <v>女</v>
      </c>
      <c r="G4743" s="7" t="s">
        <v>3767</v>
      </c>
      <c r="H4743" s="8"/>
    </row>
    <row r="4744" ht="25" customHeight="1" spans="1:8">
      <c r="A4744" s="6">
        <v>4742</v>
      </c>
      <c r="B4744" s="7" t="str">
        <f t="shared" si="955"/>
        <v>701</v>
      </c>
      <c r="C4744" s="7" t="s">
        <v>3645</v>
      </c>
      <c r="D4744" s="7" t="s">
        <v>3646</v>
      </c>
      <c r="E4744" s="7" t="str">
        <f>"冯妍茹"</f>
        <v>冯妍茹</v>
      </c>
      <c r="F4744" s="7" t="str">
        <f t="shared" si="961"/>
        <v>女</v>
      </c>
      <c r="G4744" s="7" t="s">
        <v>3768</v>
      </c>
      <c r="H4744" s="8"/>
    </row>
    <row r="4745" ht="25" customHeight="1" spans="1:8">
      <c r="A4745" s="6">
        <v>4743</v>
      </c>
      <c r="B4745" s="7" t="str">
        <f t="shared" si="955"/>
        <v>701</v>
      </c>
      <c r="C4745" s="7" t="s">
        <v>3645</v>
      </c>
      <c r="D4745" s="7" t="s">
        <v>3646</v>
      </c>
      <c r="E4745" s="7" t="str">
        <f>"黄实贵"</f>
        <v>黄实贵</v>
      </c>
      <c r="F4745" s="7" t="str">
        <f t="shared" si="962"/>
        <v>男</v>
      </c>
      <c r="G4745" s="7" t="s">
        <v>3769</v>
      </c>
      <c r="H4745" s="8"/>
    </row>
    <row r="4746" ht="25" customHeight="1" spans="1:8">
      <c r="A4746" s="6">
        <v>4744</v>
      </c>
      <c r="B4746" s="7" t="str">
        <f t="shared" si="955"/>
        <v>701</v>
      </c>
      <c r="C4746" s="7" t="s">
        <v>3645</v>
      </c>
      <c r="D4746" s="7" t="s">
        <v>3646</v>
      </c>
      <c r="E4746" s="7" t="str">
        <f>"罗兴吉"</f>
        <v>罗兴吉</v>
      </c>
      <c r="F4746" s="7" t="str">
        <f t="shared" si="962"/>
        <v>男</v>
      </c>
      <c r="G4746" s="7" t="s">
        <v>24</v>
      </c>
      <c r="H4746" s="8"/>
    </row>
    <row r="4747" ht="25" customHeight="1" spans="1:8">
      <c r="A4747" s="6">
        <v>4745</v>
      </c>
      <c r="B4747" s="7" t="str">
        <f t="shared" si="955"/>
        <v>701</v>
      </c>
      <c r="C4747" s="7" t="s">
        <v>3645</v>
      </c>
      <c r="D4747" s="7" t="s">
        <v>3646</v>
      </c>
      <c r="E4747" s="7" t="str">
        <f>"刘新豫"</f>
        <v>刘新豫</v>
      </c>
      <c r="F4747" s="7" t="str">
        <f t="shared" si="962"/>
        <v>男</v>
      </c>
      <c r="G4747" s="7" t="s">
        <v>3770</v>
      </c>
      <c r="H4747" s="8"/>
    </row>
    <row r="4748" ht="25" customHeight="1" spans="1:8">
      <c r="A4748" s="6">
        <v>4746</v>
      </c>
      <c r="B4748" s="7" t="str">
        <f t="shared" si="955"/>
        <v>701</v>
      </c>
      <c r="C4748" s="7" t="s">
        <v>3645</v>
      </c>
      <c r="D4748" s="7" t="s">
        <v>3646</v>
      </c>
      <c r="E4748" s="7" t="str">
        <f>"林瑞星"</f>
        <v>林瑞星</v>
      </c>
      <c r="F4748" s="7" t="str">
        <f t="shared" si="962"/>
        <v>男</v>
      </c>
      <c r="G4748" s="7" t="s">
        <v>294</v>
      </c>
      <c r="H4748" s="8"/>
    </row>
    <row r="4749" ht="25" customHeight="1" spans="1:8">
      <c r="A4749" s="6">
        <v>4747</v>
      </c>
      <c r="B4749" s="7" t="str">
        <f t="shared" si="955"/>
        <v>701</v>
      </c>
      <c r="C4749" s="7" t="s">
        <v>3645</v>
      </c>
      <c r="D4749" s="7" t="s">
        <v>3646</v>
      </c>
      <c r="E4749" s="7" t="str">
        <f>"孙浩然"</f>
        <v>孙浩然</v>
      </c>
      <c r="F4749" s="7" t="str">
        <f t="shared" si="962"/>
        <v>男</v>
      </c>
      <c r="G4749" s="7" t="s">
        <v>3771</v>
      </c>
      <c r="H4749" s="8"/>
    </row>
    <row r="4750" ht="25" customHeight="1" spans="1:8">
      <c r="A4750" s="6">
        <v>4748</v>
      </c>
      <c r="B4750" s="7" t="str">
        <f t="shared" si="955"/>
        <v>701</v>
      </c>
      <c r="C4750" s="7" t="s">
        <v>3645</v>
      </c>
      <c r="D4750" s="7" t="s">
        <v>3646</v>
      </c>
      <c r="E4750" s="7" t="str">
        <f>"曾鑫华"</f>
        <v>曾鑫华</v>
      </c>
      <c r="F4750" s="7" t="str">
        <f t="shared" si="962"/>
        <v>男</v>
      </c>
      <c r="G4750" s="7" t="s">
        <v>3772</v>
      </c>
      <c r="H4750" s="8"/>
    </row>
    <row r="4751" ht="25" customHeight="1" spans="1:8">
      <c r="A4751" s="6">
        <v>4749</v>
      </c>
      <c r="B4751" s="7" t="str">
        <f t="shared" si="955"/>
        <v>701</v>
      </c>
      <c r="C4751" s="7" t="s">
        <v>3645</v>
      </c>
      <c r="D4751" s="7" t="s">
        <v>3646</v>
      </c>
      <c r="E4751" s="7" t="str">
        <f>"刘城恋"</f>
        <v>刘城恋</v>
      </c>
      <c r="F4751" s="7" t="str">
        <f>"女"</f>
        <v>女</v>
      </c>
      <c r="G4751" s="7" t="s">
        <v>3773</v>
      </c>
      <c r="H4751" s="8"/>
    </row>
    <row r="4752" ht="25" customHeight="1" spans="1:8">
      <c r="A4752" s="6">
        <v>4750</v>
      </c>
      <c r="B4752" s="7" t="str">
        <f t="shared" si="955"/>
        <v>701</v>
      </c>
      <c r="C4752" s="7" t="s">
        <v>3645</v>
      </c>
      <c r="D4752" s="7" t="s">
        <v>3646</v>
      </c>
      <c r="E4752" s="7" t="str">
        <f>"张丰贤"</f>
        <v>张丰贤</v>
      </c>
      <c r="F4752" s="7" t="str">
        <f t="shared" ref="F4752:F4755" si="963">"男"</f>
        <v>男</v>
      </c>
      <c r="G4752" s="7" t="s">
        <v>3774</v>
      </c>
      <c r="H4752" s="8"/>
    </row>
    <row r="4753" ht="25" customHeight="1" spans="1:8">
      <c r="A4753" s="6">
        <v>4751</v>
      </c>
      <c r="B4753" s="7" t="str">
        <f t="shared" si="955"/>
        <v>701</v>
      </c>
      <c r="C4753" s="7" t="s">
        <v>3645</v>
      </c>
      <c r="D4753" s="7" t="s">
        <v>3646</v>
      </c>
      <c r="E4753" s="7" t="str">
        <f>"陈大贤"</f>
        <v>陈大贤</v>
      </c>
      <c r="F4753" s="7" t="str">
        <f t="shared" si="963"/>
        <v>男</v>
      </c>
      <c r="G4753" s="7" t="s">
        <v>3775</v>
      </c>
      <c r="H4753" s="8"/>
    </row>
    <row r="4754" ht="25" customHeight="1" spans="1:8">
      <c r="A4754" s="6">
        <v>4752</v>
      </c>
      <c r="B4754" s="7" t="str">
        <f t="shared" si="955"/>
        <v>701</v>
      </c>
      <c r="C4754" s="7" t="s">
        <v>3645</v>
      </c>
      <c r="D4754" s="7" t="s">
        <v>3646</v>
      </c>
      <c r="E4754" s="7" t="str">
        <f>"陆英富"</f>
        <v>陆英富</v>
      </c>
      <c r="F4754" s="7" t="str">
        <f t="shared" si="963"/>
        <v>男</v>
      </c>
      <c r="G4754" s="7" t="s">
        <v>3776</v>
      </c>
      <c r="H4754" s="8"/>
    </row>
    <row r="4755" ht="25" customHeight="1" spans="1:8">
      <c r="A4755" s="6">
        <v>4753</v>
      </c>
      <c r="B4755" s="7" t="str">
        <f t="shared" si="955"/>
        <v>701</v>
      </c>
      <c r="C4755" s="7" t="s">
        <v>3645</v>
      </c>
      <c r="D4755" s="7" t="s">
        <v>3646</v>
      </c>
      <c r="E4755" s="7" t="str">
        <f>"娄晓贺"</f>
        <v>娄晓贺</v>
      </c>
      <c r="F4755" s="7" t="str">
        <f t="shared" si="963"/>
        <v>男</v>
      </c>
      <c r="G4755" s="7" t="s">
        <v>3777</v>
      </c>
      <c r="H4755" s="8"/>
    </row>
    <row r="4756" ht="25" customHeight="1" spans="1:8">
      <c r="A4756" s="6">
        <v>4754</v>
      </c>
      <c r="B4756" s="7" t="str">
        <f t="shared" si="955"/>
        <v>701</v>
      </c>
      <c r="C4756" s="7" t="s">
        <v>3645</v>
      </c>
      <c r="D4756" s="7" t="s">
        <v>3646</v>
      </c>
      <c r="E4756" s="7" t="str">
        <f>"田婷"</f>
        <v>田婷</v>
      </c>
      <c r="F4756" s="7" t="str">
        <f>"女"</f>
        <v>女</v>
      </c>
      <c r="G4756" s="7" t="s">
        <v>3778</v>
      </c>
      <c r="H4756" s="8"/>
    </row>
    <row r="4757" ht="25" customHeight="1" spans="1:8">
      <c r="A4757" s="6">
        <v>4755</v>
      </c>
      <c r="B4757" s="7" t="str">
        <f t="shared" si="955"/>
        <v>701</v>
      </c>
      <c r="C4757" s="7" t="s">
        <v>3645</v>
      </c>
      <c r="D4757" s="7" t="s">
        <v>3646</v>
      </c>
      <c r="E4757" s="7" t="str">
        <f>"张我祥"</f>
        <v>张我祥</v>
      </c>
      <c r="F4757" s="7" t="str">
        <f t="shared" ref="F4757:F4760" si="964">"男"</f>
        <v>男</v>
      </c>
      <c r="G4757" s="7" t="s">
        <v>3779</v>
      </c>
      <c r="H4757" s="8"/>
    </row>
    <row r="4758" ht="25" customHeight="1" spans="1:8">
      <c r="A4758" s="6">
        <v>4756</v>
      </c>
      <c r="B4758" s="7" t="str">
        <f t="shared" si="955"/>
        <v>701</v>
      </c>
      <c r="C4758" s="7" t="s">
        <v>3645</v>
      </c>
      <c r="D4758" s="7" t="s">
        <v>3646</v>
      </c>
      <c r="E4758" s="7" t="str">
        <f>"彭伟奇"</f>
        <v>彭伟奇</v>
      </c>
      <c r="F4758" s="7" t="str">
        <f t="shared" si="964"/>
        <v>男</v>
      </c>
      <c r="G4758" s="7" t="s">
        <v>3780</v>
      </c>
      <c r="H4758" s="8"/>
    </row>
    <row r="4759" ht="25" customHeight="1" spans="1:8">
      <c r="A4759" s="6">
        <v>4757</v>
      </c>
      <c r="B4759" s="7" t="str">
        <f t="shared" ref="B4759:B4822" si="965">"702"</f>
        <v>702</v>
      </c>
      <c r="C4759" s="7" t="s">
        <v>3781</v>
      </c>
      <c r="D4759" s="7" t="s">
        <v>3646</v>
      </c>
      <c r="E4759" s="7" t="str">
        <f>"梁庄鑫"</f>
        <v>梁庄鑫</v>
      </c>
      <c r="F4759" s="7" t="str">
        <f t="shared" si="964"/>
        <v>男</v>
      </c>
      <c r="G4759" s="7" t="s">
        <v>3782</v>
      </c>
      <c r="H4759" s="8"/>
    </row>
    <row r="4760" ht="25" customHeight="1" spans="1:8">
      <c r="A4760" s="6">
        <v>4758</v>
      </c>
      <c r="B4760" s="7" t="str">
        <f t="shared" si="965"/>
        <v>702</v>
      </c>
      <c r="C4760" s="7" t="s">
        <v>3781</v>
      </c>
      <c r="D4760" s="7" t="s">
        <v>3646</v>
      </c>
      <c r="E4760" s="7" t="str">
        <f>"展文捷"</f>
        <v>展文捷</v>
      </c>
      <c r="F4760" s="7" t="str">
        <f t="shared" si="964"/>
        <v>男</v>
      </c>
      <c r="G4760" s="7" t="s">
        <v>3783</v>
      </c>
      <c r="H4760" s="8"/>
    </row>
    <row r="4761" ht="25" customHeight="1" spans="1:8">
      <c r="A4761" s="6">
        <v>4759</v>
      </c>
      <c r="B4761" s="7" t="str">
        <f t="shared" si="965"/>
        <v>702</v>
      </c>
      <c r="C4761" s="7" t="s">
        <v>3781</v>
      </c>
      <c r="D4761" s="7" t="s">
        <v>3646</v>
      </c>
      <c r="E4761" s="7" t="str">
        <f>"董珍妹"</f>
        <v>董珍妹</v>
      </c>
      <c r="F4761" s="7" t="str">
        <f t="shared" ref="F4761:F4764" si="966">"女"</f>
        <v>女</v>
      </c>
      <c r="G4761" s="7" t="s">
        <v>3784</v>
      </c>
      <c r="H4761" s="8"/>
    </row>
    <row r="4762" ht="25" customHeight="1" spans="1:8">
      <c r="A4762" s="6">
        <v>4760</v>
      </c>
      <c r="B4762" s="7" t="str">
        <f t="shared" si="965"/>
        <v>702</v>
      </c>
      <c r="C4762" s="7" t="s">
        <v>3781</v>
      </c>
      <c r="D4762" s="7" t="s">
        <v>3646</v>
      </c>
      <c r="E4762" s="7" t="str">
        <f>"黄士香"</f>
        <v>黄士香</v>
      </c>
      <c r="F4762" s="7" t="str">
        <f t="shared" si="966"/>
        <v>女</v>
      </c>
      <c r="G4762" s="7" t="s">
        <v>3260</v>
      </c>
      <c r="H4762" s="8"/>
    </row>
    <row r="4763" ht="25" customHeight="1" spans="1:8">
      <c r="A4763" s="6">
        <v>4761</v>
      </c>
      <c r="B4763" s="7" t="str">
        <f t="shared" si="965"/>
        <v>702</v>
      </c>
      <c r="C4763" s="7" t="s">
        <v>3781</v>
      </c>
      <c r="D4763" s="7" t="s">
        <v>3646</v>
      </c>
      <c r="E4763" s="7" t="str">
        <f>"陈余金"</f>
        <v>陈余金</v>
      </c>
      <c r="F4763" s="7" t="str">
        <f t="shared" si="966"/>
        <v>女</v>
      </c>
      <c r="G4763" s="7" t="s">
        <v>1417</v>
      </c>
      <c r="H4763" s="8"/>
    </row>
    <row r="4764" ht="25" customHeight="1" spans="1:8">
      <c r="A4764" s="6">
        <v>4762</v>
      </c>
      <c r="B4764" s="7" t="str">
        <f t="shared" si="965"/>
        <v>702</v>
      </c>
      <c r="C4764" s="7" t="s">
        <v>3781</v>
      </c>
      <c r="D4764" s="7" t="s">
        <v>3646</v>
      </c>
      <c r="E4764" s="7" t="str">
        <f>"柳朝艳"</f>
        <v>柳朝艳</v>
      </c>
      <c r="F4764" s="7" t="str">
        <f t="shared" si="966"/>
        <v>女</v>
      </c>
      <c r="G4764" s="7" t="s">
        <v>310</v>
      </c>
      <c r="H4764" s="8"/>
    </row>
    <row r="4765" ht="25" customHeight="1" spans="1:8">
      <c r="A4765" s="6">
        <v>4763</v>
      </c>
      <c r="B4765" s="7" t="str">
        <f t="shared" si="965"/>
        <v>702</v>
      </c>
      <c r="C4765" s="7" t="s">
        <v>3781</v>
      </c>
      <c r="D4765" s="7" t="s">
        <v>3646</v>
      </c>
      <c r="E4765" s="7" t="str">
        <f>"麦忠良"</f>
        <v>麦忠良</v>
      </c>
      <c r="F4765" s="7" t="str">
        <f>"男"</f>
        <v>男</v>
      </c>
      <c r="G4765" s="7" t="s">
        <v>2902</v>
      </c>
      <c r="H4765" s="8"/>
    </row>
    <row r="4766" ht="25" customHeight="1" spans="1:8">
      <c r="A4766" s="6">
        <v>4764</v>
      </c>
      <c r="B4766" s="7" t="str">
        <f t="shared" si="965"/>
        <v>702</v>
      </c>
      <c r="C4766" s="7" t="s">
        <v>3781</v>
      </c>
      <c r="D4766" s="7" t="s">
        <v>3646</v>
      </c>
      <c r="E4766" s="7" t="str">
        <f>"范海兰"</f>
        <v>范海兰</v>
      </c>
      <c r="F4766" s="7" t="str">
        <f t="shared" ref="F4766:F4787" si="967">"女"</f>
        <v>女</v>
      </c>
      <c r="G4766" s="7" t="s">
        <v>3785</v>
      </c>
      <c r="H4766" s="8"/>
    </row>
    <row r="4767" ht="25" customHeight="1" spans="1:8">
      <c r="A4767" s="6">
        <v>4765</v>
      </c>
      <c r="B4767" s="7" t="str">
        <f t="shared" si="965"/>
        <v>702</v>
      </c>
      <c r="C4767" s="7" t="s">
        <v>3781</v>
      </c>
      <c r="D4767" s="7" t="s">
        <v>3646</v>
      </c>
      <c r="E4767" s="7" t="str">
        <f>"邓晓敏"</f>
        <v>邓晓敏</v>
      </c>
      <c r="F4767" s="7" t="str">
        <f t="shared" si="967"/>
        <v>女</v>
      </c>
      <c r="G4767" s="7" t="s">
        <v>2892</v>
      </c>
      <c r="H4767" s="8"/>
    </row>
    <row r="4768" ht="25" customHeight="1" spans="1:8">
      <c r="A4768" s="6">
        <v>4766</v>
      </c>
      <c r="B4768" s="7" t="str">
        <f t="shared" si="965"/>
        <v>702</v>
      </c>
      <c r="C4768" s="7" t="s">
        <v>3781</v>
      </c>
      <c r="D4768" s="7" t="s">
        <v>3646</v>
      </c>
      <c r="E4768" s="7" t="str">
        <f>"刘小亚"</f>
        <v>刘小亚</v>
      </c>
      <c r="F4768" s="7" t="str">
        <f t="shared" si="967"/>
        <v>女</v>
      </c>
      <c r="G4768" s="7" t="s">
        <v>3786</v>
      </c>
      <c r="H4768" s="8"/>
    </row>
    <row r="4769" ht="25" customHeight="1" spans="1:8">
      <c r="A4769" s="6">
        <v>4767</v>
      </c>
      <c r="B4769" s="7" t="str">
        <f t="shared" si="965"/>
        <v>702</v>
      </c>
      <c r="C4769" s="7" t="s">
        <v>3781</v>
      </c>
      <c r="D4769" s="7" t="s">
        <v>3646</v>
      </c>
      <c r="E4769" s="7" t="str">
        <f>"符芳娇"</f>
        <v>符芳娇</v>
      </c>
      <c r="F4769" s="7" t="str">
        <f t="shared" si="967"/>
        <v>女</v>
      </c>
      <c r="G4769" s="7" t="s">
        <v>3787</v>
      </c>
      <c r="H4769" s="8"/>
    </row>
    <row r="4770" ht="25" customHeight="1" spans="1:8">
      <c r="A4770" s="6">
        <v>4768</v>
      </c>
      <c r="B4770" s="7" t="str">
        <f t="shared" si="965"/>
        <v>702</v>
      </c>
      <c r="C4770" s="7" t="s">
        <v>3781</v>
      </c>
      <c r="D4770" s="7" t="s">
        <v>3646</v>
      </c>
      <c r="E4770" s="7" t="str">
        <f>"丁雨星"</f>
        <v>丁雨星</v>
      </c>
      <c r="F4770" s="7" t="str">
        <f t="shared" si="967"/>
        <v>女</v>
      </c>
      <c r="G4770" s="7" t="s">
        <v>3788</v>
      </c>
      <c r="H4770" s="8"/>
    </row>
    <row r="4771" ht="25" customHeight="1" spans="1:8">
      <c r="A4771" s="6">
        <v>4769</v>
      </c>
      <c r="B4771" s="7" t="str">
        <f t="shared" si="965"/>
        <v>702</v>
      </c>
      <c r="C4771" s="7" t="s">
        <v>3781</v>
      </c>
      <c r="D4771" s="7" t="s">
        <v>3646</v>
      </c>
      <c r="E4771" s="7" t="str">
        <f>"林金金"</f>
        <v>林金金</v>
      </c>
      <c r="F4771" s="7" t="str">
        <f t="shared" si="967"/>
        <v>女</v>
      </c>
      <c r="G4771" s="7" t="s">
        <v>2726</v>
      </c>
      <c r="H4771" s="8"/>
    </row>
    <row r="4772" ht="25" customHeight="1" spans="1:8">
      <c r="A4772" s="6">
        <v>4770</v>
      </c>
      <c r="B4772" s="7" t="str">
        <f t="shared" si="965"/>
        <v>702</v>
      </c>
      <c r="C4772" s="7" t="s">
        <v>3781</v>
      </c>
      <c r="D4772" s="7" t="s">
        <v>3646</v>
      </c>
      <c r="E4772" s="7" t="str">
        <f>"史笑"</f>
        <v>史笑</v>
      </c>
      <c r="F4772" s="7" t="str">
        <f t="shared" si="967"/>
        <v>女</v>
      </c>
      <c r="G4772" s="7" t="s">
        <v>3789</v>
      </c>
      <c r="H4772" s="8"/>
    </row>
    <row r="4773" ht="25" customHeight="1" spans="1:8">
      <c r="A4773" s="6">
        <v>4771</v>
      </c>
      <c r="B4773" s="7" t="str">
        <f t="shared" si="965"/>
        <v>702</v>
      </c>
      <c r="C4773" s="7" t="s">
        <v>3781</v>
      </c>
      <c r="D4773" s="7" t="s">
        <v>3646</v>
      </c>
      <c r="E4773" s="7" t="str">
        <f>"吴芳娃"</f>
        <v>吴芳娃</v>
      </c>
      <c r="F4773" s="7" t="str">
        <f t="shared" si="967"/>
        <v>女</v>
      </c>
      <c r="G4773" s="7" t="s">
        <v>3790</v>
      </c>
      <c r="H4773" s="8"/>
    </row>
    <row r="4774" ht="25" customHeight="1" spans="1:8">
      <c r="A4774" s="6">
        <v>4772</v>
      </c>
      <c r="B4774" s="7" t="str">
        <f t="shared" si="965"/>
        <v>702</v>
      </c>
      <c r="C4774" s="7" t="s">
        <v>3781</v>
      </c>
      <c r="D4774" s="7" t="s">
        <v>3646</v>
      </c>
      <c r="E4774" s="7" t="str">
        <f>"邓鹏爱"</f>
        <v>邓鹏爱</v>
      </c>
      <c r="F4774" s="7" t="str">
        <f t="shared" si="967"/>
        <v>女</v>
      </c>
      <c r="G4774" s="7" t="s">
        <v>1620</v>
      </c>
      <c r="H4774" s="8"/>
    </row>
    <row r="4775" ht="25" customHeight="1" spans="1:8">
      <c r="A4775" s="6">
        <v>4773</v>
      </c>
      <c r="B4775" s="7" t="str">
        <f t="shared" si="965"/>
        <v>702</v>
      </c>
      <c r="C4775" s="7" t="s">
        <v>3781</v>
      </c>
      <c r="D4775" s="7" t="s">
        <v>3646</v>
      </c>
      <c r="E4775" s="7" t="str">
        <f>"周宝怡"</f>
        <v>周宝怡</v>
      </c>
      <c r="F4775" s="7" t="str">
        <f t="shared" si="967"/>
        <v>女</v>
      </c>
      <c r="G4775" s="7" t="s">
        <v>889</v>
      </c>
      <c r="H4775" s="8"/>
    </row>
    <row r="4776" ht="25" customHeight="1" spans="1:8">
      <c r="A4776" s="6">
        <v>4774</v>
      </c>
      <c r="B4776" s="7" t="str">
        <f t="shared" si="965"/>
        <v>702</v>
      </c>
      <c r="C4776" s="7" t="s">
        <v>3781</v>
      </c>
      <c r="D4776" s="7" t="s">
        <v>3646</v>
      </c>
      <c r="E4776" s="7" t="str">
        <f>"林咏仪"</f>
        <v>林咏仪</v>
      </c>
      <c r="F4776" s="7" t="str">
        <f t="shared" si="967"/>
        <v>女</v>
      </c>
      <c r="G4776" s="7" t="s">
        <v>3791</v>
      </c>
      <c r="H4776" s="8"/>
    </row>
    <row r="4777" ht="25" customHeight="1" spans="1:8">
      <c r="A4777" s="6">
        <v>4775</v>
      </c>
      <c r="B4777" s="7" t="str">
        <f t="shared" si="965"/>
        <v>702</v>
      </c>
      <c r="C4777" s="7" t="s">
        <v>3781</v>
      </c>
      <c r="D4777" s="7" t="s">
        <v>3646</v>
      </c>
      <c r="E4777" s="7" t="str">
        <f>"兰燕茜"</f>
        <v>兰燕茜</v>
      </c>
      <c r="F4777" s="7" t="str">
        <f t="shared" si="967"/>
        <v>女</v>
      </c>
      <c r="G4777" s="7" t="s">
        <v>2568</v>
      </c>
      <c r="H4777" s="8"/>
    </row>
    <row r="4778" ht="25" customHeight="1" spans="1:8">
      <c r="A4778" s="6">
        <v>4776</v>
      </c>
      <c r="B4778" s="7" t="str">
        <f t="shared" si="965"/>
        <v>702</v>
      </c>
      <c r="C4778" s="7" t="s">
        <v>3781</v>
      </c>
      <c r="D4778" s="7" t="s">
        <v>3646</v>
      </c>
      <c r="E4778" s="7" t="str">
        <f>"石茜月"</f>
        <v>石茜月</v>
      </c>
      <c r="F4778" s="7" t="str">
        <f t="shared" si="967"/>
        <v>女</v>
      </c>
      <c r="G4778" s="7" t="s">
        <v>3792</v>
      </c>
      <c r="H4778" s="8"/>
    </row>
    <row r="4779" ht="25" customHeight="1" spans="1:8">
      <c r="A4779" s="6">
        <v>4777</v>
      </c>
      <c r="B4779" s="7" t="str">
        <f t="shared" si="965"/>
        <v>702</v>
      </c>
      <c r="C4779" s="7" t="s">
        <v>3781</v>
      </c>
      <c r="D4779" s="7" t="s">
        <v>3646</v>
      </c>
      <c r="E4779" s="7" t="str">
        <f>"郑晓莹"</f>
        <v>郑晓莹</v>
      </c>
      <c r="F4779" s="7" t="str">
        <f t="shared" si="967"/>
        <v>女</v>
      </c>
      <c r="G4779" s="7" t="s">
        <v>3793</v>
      </c>
      <c r="H4779" s="8"/>
    </row>
    <row r="4780" ht="25" customHeight="1" spans="1:8">
      <c r="A4780" s="6">
        <v>4778</v>
      </c>
      <c r="B4780" s="7" t="str">
        <f t="shared" si="965"/>
        <v>702</v>
      </c>
      <c r="C4780" s="7" t="s">
        <v>3781</v>
      </c>
      <c r="D4780" s="7" t="s">
        <v>3646</v>
      </c>
      <c r="E4780" s="7" t="str">
        <f>"王国润"</f>
        <v>王国润</v>
      </c>
      <c r="F4780" s="7" t="str">
        <f t="shared" si="967"/>
        <v>女</v>
      </c>
      <c r="G4780" s="7" t="s">
        <v>3515</v>
      </c>
      <c r="H4780" s="8"/>
    </row>
    <row r="4781" ht="25" customHeight="1" spans="1:8">
      <c r="A4781" s="6">
        <v>4779</v>
      </c>
      <c r="B4781" s="7" t="str">
        <f t="shared" si="965"/>
        <v>702</v>
      </c>
      <c r="C4781" s="7" t="s">
        <v>3781</v>
      </c>
      <c r="D4781" s="7" t="s">
        <v>3646</v>
      </c>
      <c r="E4781" s="7" t="str">
        <f>"陈壮丹"</f>
        <v>陈壮丹</v>
      </c>
      <c r="F4781" s="7" t="str">
        <f t="shared" si="967"/>
        <v>女</v>
      </c>
      <c r="G4781" s="7" t="s">
        <v>1502</v>
      </c>
      <c r="H4781" s="8"/>
    </row>
    <row r="4782" ht="25" customHeight="1" spans="1:8">
      <c r="A4782" s="6">
        <v>4780</v>
      </c>
      <c r="B4782" s="7" t="str">
        <f t="shared" si="965"/>
        <v>702</v>
      </c>
      <c r="C4782" s="7" t="s">
        <v>3781</v>
      </c>
      <c r="D4782" s="7" t="s">
        <v>3646</v>
      </c>
      <c r="E4782" s="7" t="str">
        <f>"刘小娜"</f>
        <v>刘小娜</v>
      </c>
      <c r="F4782" s="7" t="str">
        <f t="shared" si="967"/>
        <v>女</v>
      </c>
      <c r="G4782" s="7" t="s">
        <v>3794</v>
      </c>
      <c r="H4782" s="8"/>
    </row>
    <row r="4783" ht="25" customHeight="1" spans="1:8">
      <c r="A4783" s="6">
        <v>4781</v>
      </c>
      <c r="B4783" s="7" t="str">
        <f t="shared" si="965"/>
        <v>702</v>
      </c>
      <c r="C4783" s="7" t="s">
        <v>3781</v>
      </c>
      <c r="D4783" s="7" t="s">
        <v>3646</v>
      </c>
      <c r="E4783" s="7" t="str">
        <f>"王少奇"</f>
        <v>王少奇</v>
      </c>
      <c r="F4783" s="7" t="str">
        <f t="shared" si="967"/>
        <v>女</v>
      </c>
      <c r="G4783" s="7" t="s">
        <v>1400</v>
      </c>
      <c r="H4783" s="8"/>
    </row>
    <row r="4784" ht="25" customHeight="1" spans="1:8">
      <c r="A4784" s="6">
        <v>4782</v>
      </c>
      <c r="B4784" s="7" t="str">
        <f t="shared" si="965"/>
        <v>702</v>
      </c>
      <c r="C4784" s="7" t="s">
        <v>3781</v>
      </c>
      <c r="D4784" s="7" t="s">
        <v>3646</v>
      </c>
      <c r="E4784" s="7" t="str">
        <f>"王春柳"</f>
        <v>王春柳</v>
      </c>
      <c r="F4784" s="7" t="str">
        <f t="shared" si="967"/>
        <v>女</v>
      </c>
      <c r="G4784" s="7" t="s">
        <v>3566</v>
      </c>
      <c r="H4784" s="8"/>
    </row>
    <row r="4785" ht="25" customHeight="1" spans="1:8">
      <c r="A4785" s="6">
        <v>4783</v>
      </c>
      <c r="B4785" s="7" t="str">
        <f t="shared" si="965"/>
        <v>702</v>
      </c>
      <c r="C4785" s="7" t="s">
        <v>3781</v>
      </c>
      <c r="D4785" s="7" t="s">
        <v>3646</v>
      </c>
      <c r="E4785" s="7" t="str">
        <f>"何心怡"</f>
        <v>何心怡</v>
      </c>
      <c r="F4785" s="7" t="str">
        <f t="shared" si="967"/>
        <v>女</v>
      </c>
      <c r="G4785" s="7" t="s">
        <v>3795</v>
      </c>
      <c r="H4785" s="8"/>
    </row>
    <row r="4786" ht="25" customHeight="1" spans="1:8">
      <c r="A4786" s="6">
        <v>4784</v>
      </c>
      <c r="B4786" s="7" t="str">
        <f t="shared" si="965"/>
        <v>702</v>
      </c>
      <c r="C4786" s="7" t="s">
        <v>3781</v>
      </c>
      <c r="D4786" s="7" t="s">
        <v>3646</v>
      </c>
      <c r="E4786" s="7" t="str">
        <f>"王嘉璐"</f>
        <v>王嘉璐</v>
      </c>
      <c r="F4786" s="7" t="str">
        <f t="shared" si="967"/>
        <v>女</v>
      </c>
      <c r="G4786" s="7" t="s">
        <v>3796</v>
      </c>
      <c r="H4786" s="8"/>
    </row>
    <row r="4787" ht="25" customHeight="1" spans="1:8">
      <c r="A4787" s="6">
        <v>4785</v>
      </c>
      <c r="B4787" s="7" t="str">
        <f t="shared" si="965"/>
        <v>702</v>
      </c>
      <c r="C4787" s="7" t="s">
        <v>3781</v>
      </c>
      <c r="D4787" s="7" t="s">
        <v>3646</v>
      </c>
      <c r="E4787" s="7" t="str">
        <f>"符再飞"</f>
        <v>符再飞</v>
      </c>
      <c r="F4787" s="7" t="str">
        <f t="shared" si="967"/>
        <v>女</v>
      </c>
      <c r="G4787" s="7" t="s">
        <v>3797</v>
      </c>
      <c r="H4787" s="8"/>
    </row>
    <row r="4788" ht="25" customHeight="1" spans="1:8">
      <c r="A4788" s="6">
        <v>4786</v>
      </c>
      <c r="B4788" s="7" t="str">
        <f t="shared" si="965"/>
        <v>702</v>
      </c>
      <c r="C4788" s="7" t="s">
        <v>3781</v>
      </c>
      <c r="D4788" s="7" t="s">
        <v>3646</v>
      </c>
      <c r="E4788" s="7" t="str">
        <f>"谢世游"</f>
        <v>谢世游</v>
      </c>
      <c r="F4788" s="7" t="str">
        <f>"男"</f>
        <v>男</v>
      </c>
      <c r="G4788" s="7" t="s">
        <v>3798</v>
      </c>
      <c r="H4788" s="8"/>
    </row>
    <row r="4789" ht="25" customHeight="1" spans="1:8">
      <c r="A4789" s="6">
        <v>4787</v>
      </c>
      <c r="B4789" s="7" t="str">
        <f t="shared" si="965"/>
        <v>702</v>
      </c>
      <c r="C4789" s="7" t="s">
        <v>3781</v>
      </c>
      <c r="D4789" s="7" t="s">
        <v>3646</v>
      </c>
      <c r="E4789" s="7" t="str">
        <f>"周青"</f>
        <v>周青</v>
      </c>
      <c r="F4789" s="7" t="str">
        <f t="shared" ref="F4789:F4816" si="968">"女"</f>
        <v>女</v>
      </c>
      <c r="G4789" s="7" t="s">
        <v>3799</v>
      </c>
      <c r="H4789" s="8"/>
    </row>
    <row r="4790" ht="25" customHeight="1" spans="1:8">
      <c r="A4790" s="6">
        <v>4788</v>
      </c>
      <c r="B4790" s="7" t="str">
        <f t="shared" si="965"/>
        <v>702</v>
      </c>
      <c r="C4790" s="7" t="s">
        <v>3781</v>
      </c>
      <c r="D4790" s="7" t="s">
        <v>3646</v>
      </c>
      <c r="E4790" s="7" t="str">
        <f>"邓心悦"</f>
        <v>邓心悦</v>
      </c>
      <c r="F4790" s="7" t="str">
        <f t="shared" si="968"/>
        <v>女</v>
      </c>
      <c r="G4790" s="7" t="s">
        <v>3800</v>
      </c>
      <c r="H4790" s="8"/>
    </row>
    <row r="4791" ht="25" customHeight="1" spans="1:8">
      <c r="A4791" s="6">
        <v>4789</v>
      </c>
      <c r="B4791" s="7" t="str">
        <f t="shared" si="965"/>
        <v>702</v>
      </c>
      <c r="C4791" s="7" t="s">
        <v>3781</v>
      </c>
      <c r="D4791" s="7" t="s">
        <v>3646</v>
      </c>
      <c r="E4791" s="7" t="str">
        <f>"丛美善"</f>
        <v>丛美善</v>
      </c>
      <c r="F4791" s="7" t="str">
        <f t="shared" si="968"/>
        <v>女</v>
      </c>
      <c r="G4791" s="7" t="s">
        <v>3801</v>
      </c>
      <c r="H4791" s="8"/>
    </row>
    <row r="4792" ht="25" customHeight="1" spans="1:8">
      <c r="A4792" s="6">
        <v>4790</v>
      </c>
      <c r="B4792" s="7" t="str">
        <f t="shared" si="965"/>
        <v>702</v>
      </c>
      <c r="C4792" s="7" t="s">
        <v>3781</v>
      </c>
      <c r="D4792" s="7" t="s">
        <v>3646</v>
      </c>
      <c r="E4792" s="7" t="str">
        <f>"周宁"</f>
        <v>周宁</v>
      </c>
      <c r="F4792" s="7" t="str">
        <f t="shared" si="968"/>
        <v>女</v>
      </c>
      <c r="G4792" s="7" t="s">
        <v>3802</v>
      </c>
      <c r="H4792" s="8"/>
    </row>
    <row r="4793" ht="25" customHeight="1" spans="1:8">
      <c r="A4793" s="6">
        <v>4791</v>
      </c>
      <c r="B4793" s="7" t="str">
        <f t="shared" si="965"/>
        <v>702</v>
      </c>
      <c r="C4793" s="7" t="s">
        <v>3781</v>
      </c>
      <c r="D4793" s="7" t="s">
        <v>3646</v>
      </c>
      <c r="E4793" s="7" t="str">
        <f>"王英"</f>
        <v>王英</v>
      </c>
      <c r="F4793" s="7" t="str">
        <f t="shared" si="968"/>
        <v>女</v>
      </c>
      <c r="G4793" s="7" t="s">
        <v>3803</v>
      </c>
      <c r="H4793" s="8"/>
    </row>
    <row r="4794" ht="25" customHeight="1" spans="1:8">
      <c r="A4794" s="6">
        <v>4792</v>
      </c>
      <c r="B4794" s="7" t="str">
        <f t="shared" si="965"/>
        <v>702</v>
      </c>
      <c r="C4794" s="7" t="s">
        <v>3781</v>
      </c>
      <c r="D4794" s="7" t="s">
        <v>3646</v>
      </c>
      <c r="E4794" s="7" t="str">
        <f>"陈保林"</f>
        <v>陈保林</v>
      </c>
      <c r="F4794" s="7" t="str">
        <f t="shared" si="968"/>
        <v>女</v>
      </c>
      <c r="G4794" s="7" t="s">
        <v>2370</v>
      </c>
      <c r="H4794" s="8"/>
    </row>
    <row r="4795" ht="25" customHeight="1" spans="1:8">
      <c r="A4795" s="6">
        <v>4793</v>
      </c>
      <c r="B4795" s="7" t="str">
        <f t="shared" si="965"/>
        <v>702</v>
      </c>
      <c r="C4795" s="7" t="s">
        <v>3781</v>
      </c>
      <c r="D4795" s="7" t="s">
        <v>3646</v>
      </c>
      <c r="E4795" s="7" t="str">
        <f>"谢傺楼"</f>
        <v>谢傺楼</v>
      </c>
      <c r="F4795" s="7" t="str">
        <f t="shared" si="968"/>
        <v>女</v>
      </c>
      <c r="G4795" s="7" t="s">
        <v>3804</v>
      </c>
      <c r="H4795" s="8"/>
    </row>
    <row r="4796" ht="25" customHeight="1" spans="1:8">
      <c r="A4796" s="6">
        <v>4794</v>
      </c>
      <c r="B4796" s="7" t="str">
        <f t="shared" si="965"/>
        <v>702</v>
      </c>
      <c r="C4796" s="7" t="s">
        <v>3781</v>
      </c>
      <c r="D4796" s="7" t="s">
        <v>3646</v>
      </c>
      <c r="E4796" s="7" t="str">
        <f>"黎馨"</f>
        <v>黎馨</v>
      </c>
      <c r="F4796" s="7" t="str">
        <f t="shared" si="968"/>
        <v>女</v>
      </c>
      <c r="G4796" s="7" t="s">
        <v>709</v>
      </c>
      <c r="H4796" s="8"/>
    </row>
    <row r="4797" ht="25" customHeight="1" spans="1:8">
      <c r="A4797" s="6">
        <v>4795</v>
      </c>
      <c r="B4797" s="7" t="str">
        <f t="shared" si="965"/>
        <v>702</v>
      </c>
      <c r="C4797" s="7" t="s">
        <v>3781</v>
      </c>
      <c r="D4797" s="7" t="s">
        <v>3646</v>
      </c>
      <c r="E4797" s="7" t="str">
        <f>"符莉梨"</f>
        <v>符莉梨</v>
      </c>
      <c r="F4797" s="7" t="str">
        <f t="shared" si="968"/>
        <v>女</v>
      </c>
      <c r="G4797" s="7" t="s">
        <v>3805</v>
      </c>
      <c r="H4797" s="8"/>
    </row>
    <row r="4798" ht="25" customHeight="1" spans="1:8">
      <c r="A4798" s="6">
        <v>4796</v>
      </c>
      <c r="B4798" s="7" t="str">
        <f t="shared" si="965"/>
        <v>702</v>
      </c>
      <c r="C4798" s="7" t="s">
        <v>3781</v>
      </c>
      <c r="D4798" s="7" t="s">
        <v>3646</v>
      </c>
      <c r="E4798" s="7" t="str">
        <f>"庞广灵"</f>
        <v>庞广灵</v>
      </c>
      <c r="F4798" s="7" t="str">
        <f t="shared" si="968"/>
        <v>女</v>
      </c>
      <c r="G4798" s="7" t="s">
        <v>3806</v>
      </c>
      <c r="H4798" s="8"/>
    </row>
    <row r="4799" ht="25" customHeight="1" spans="1:8">
      <c r="A4799" s="6">
        <v>4797</v>
      </c>
      <c r="B4799" s="7" t="str">
        <f t="shared" si="965"/>
        <v>702</v>
      </c>
      <c r="C4799" s="7" t="s">
        <v>3781</v>
      </c>
      <c r="D4799" s="7" t="s">
        <v>3646</v>
      </c>
      <c r="E4799" s="7" t="str">
        <f>"杨梅恩"</f>
        <v>杨梅恩</v>
      </c>
      <c r="F4799" s="7" t="str">
        <f t="shared" si="968"/>
        <v>女</v>
      </c>
      <c r="G4799" s="7" t="s">
        <v>3807</v>
      </c>
      <c r="H4799" s="8"/>
    </row>
    <row r="4800" ht="25" customHeight="1" spans="1:8">
      <c r="A4800" s="6">
        <v>4798</v>
      </c>
      <c r="B4800" s="7" t="str">
        <f t="shared" si="965"/>
        <v>702</v>
      </c>
      <c r="C4800" s="7" t="s">
        <v>3781</v>
      </c>
      <c r="D4800" s="7" t="s">
        <v>3646</v>
      </c>
      <c r="E4800" s="7" t="str">
        <f>"符柳"</f>
        <v>符柳</v>
      </c>
      <c r="F4800" s="7" t="str">
        <f t="shared" si="968"/>
        <v>女</v>
      </c>
      <c r="G4800" s="7" t="s">
        <v>2619</v>
      </c>
      <c r="H4800" s="8"/>
    </row>
    <row r="4801" ht="25" customHeight="1" spans="1:8">
      <c r="A4801" s="6">
        <v>4799</v>
      </c>
      <c r="B4801" s="7" t="str">
        <f t="shared" si="965"/>
        <v>702</v>
      </c>
      <c r="C4801" s="7" t="s">
        <v>3781</v>
      </c>
      <c r="D4801" s="7" t="s">
        <v>3646</v>
      </c>
      <c r="E4801" s="7" t="str">
        <f>"刘凤娇"</f>
        <v>刘凤娇</v>
      </c>
      <c r="F4801" s="7" t="str">
        <f t="shared" si="968"/>
        <v>女</v>
      </c>
      <c r="G4801" s="7" t="s">
        <v>3808</v>
      </c>
      <c r="H4801" s="8"/>
    </row>
    <row r="4802" ht="25" customHeight="1" spans="1:8">
      <c r="A4802" s="6">
        <v>4800</v>
      </c>
      <c r="B4802" s="7" t="str">
        <f t="shared" si="965"/>
        <v>702</v>
      </c>
      <c r="C4802" s="7" t="s">
        <v>3781</v>
      </c>
      <c r="D4802" s="7" t="s">
        <v>3646</v>
      </c>
      <c r="E4802" s="7" t="str">
        <f>"宋雯倩"</f>
        <v>宋雯倩</v>
      </c>
      <c r="F4802" s="7" t="str">
        <f t="shared" si="968"/>
        <v>女</v>
      </c>
      <c r="G4802" s="7" t="s">
        <v>65</v>
      </c>
      <c r="H4802" s="8"/>
    </row>
    <row r="4803" ht="25" customHeight="1" spans="1:8">
      <c r="A4803" s="6">
        <v>4801</v>
      </c>
      <c r="B4803" s="7" t="str">
        <f t="shared" si="965"/>
        <v>702</v>
      </c>
      <c r="C4803" s="7" t="s">
        <v>3781</v>
      </c>
      <c r="D4803" s="7" t="s">
        <v>3646</v>
      </c>
      <c r="E4803" s="7" t="str">
        <f>"史雯倩"</f>
        <v>史雯倩</v>
      </c>
      <c r="F4803" s="7" t="str">
        <f t="shared" si="968"/>
        <v>女</v>
      </c>
      <c r="G4803" s="7" t="s">
        <v>3809</v>
      </c>
      <c r="H4803" s="8"/>
    </row>
    <row r="4804" ht="25" customHeight="1" spans="1:8">
      <c r="A4804" s="6">
        <v>4802</v>
      </c>
      <c r="B4804" s="7" t="str">
        <f t="shared" si="965"/>
        <v>702</v>
      </c>
      <c r="C4804" s="7" t="s">
        <v>3781</v>
      </c>
      <c r="D4804" s="7" t="s">
        <v>3646</v>
      </c>
      <c r="E4804" s="7" t="str">
        <f>"丛翠"</f>
        <v>丛翠</v>
      </c>
      <c r="F4804" s="7" t="str">
        <f t="shared" si="968"/>
        <v>女</v>
      </c>
      <c r="G4804" s="7" t="s">
        <v>3810</v>
      </c>
      <c r="H4804" s="8"/>
    </row>
    <row r="4805" ht="25" customHeight="1" spans="1:8">
      <c r="A4805" s="6">
        <v>4803</v>
      </c>
      <c r="B4805" s="7" t="str">
        <f t="shared" si="965"/>
        <v>702</v>
      </c>
      <c r="C4805" s="7" t="s">
        <v>3781</v>
      </c>
      <c r="D4805" s="7" t="s">
        <v>3646</v>
      </c>
      <c r="E4805" s="7" t="str">
        <f>"伍芯月"</f>
        <v>伍芯月</v>
      </c>
      <c r="F4805" s="7" t="str">
        <f t="shared" si="968"/>
        <v>女</v>
      </c>
      <c r="G4805" s="7" t="s">
        <v>3811</v>
      </c>
      <c r="H4805" s="8"/>
    </row>
    <row r="4806" ht="25" customHeight="1" spans="1:8">
      <c r="A4806" s="6">
        <v>4804</v>
      </c>
      <c r="B4806" s="7" t="str">
        <f t="shared" si="965"/>
        <v>702</v>
      </c>
      <c r="C4806" s="7" t="s">
        <v>3781</v>
      </c>
      <c r="D4806" s="7" t="s">
        <v>3646</v>
      </c>
      <c r="E4806" s="7" t="str">
        <f>"余怡"</f>
        <v>余怡</v>
      </c>
      <c r="F4806" s="7" t="str">
        <f t="shared" si="968"/>
        <v>女</v>
      </c>
      <c r="G4806" s="7" t="s">
        <v>3812</v>
      </c>
      <c r="H4806" s="8"/>
    </row>
    <row r="4807" ht="25" customHeight="1" spans="1:8">
      <c r="A4807" s="6">
        <v>4805</v>
      </c>
      <c r="B4807" s="7" t="str">
        <f t="shared" si="965"/>
        <v>702</v>
      </c>
      <c r="C4807" s="7" t="s">
        <v>3781</v>
      </c>
      <c r="D4807" s="7" t="s">
        <v>3646</v>
      </c>
      <c r="E4807" s="7" t="str">
        <f>"容晓洋"</f>
        <v>容晓洋</v>
      </c>
      <c r="F4807" s="7" t="str">
        <f t="shared" si="968"/>
        <v>女</v>
      </c>
      <c r="G4807" s="7" t="s">
        <v>606</v>
      </c>
      <c r="H4807" s="8"/>
    </row>
    <row r="4808" ht="25" customHeight="1" spans="1:8">
      <c r="A4808" s="6">
        <v>4806</v>
      </c>
      <c r="B4808" s="7" t="str">
        <f t="shared" si="965"/>
        <v>702</v>
      </c>
      <c r="C4808" s="7" t="s">
        <v>3781</v>
      </c>
      <c r="D4808" s="7" t="s">
        <v>3646</v>
      </c>
      <c r="E4808" s="7" t="str">
        <f>"邓俊美"</f>
        <v>邓俊美</v>
      </c>
      <c r="F4808" s="7" t="str">
        <f t="shared" si="968"/>
        <v>女</v>
      </c>
      <c r="G4808" s="7" t="s">
        <v>3813</v>
      </c>
      <c r="H4808" s="8"/>
    </row>
    <row r="4809" ht="25" customHeight="1" spans="1:8">
      <c r="A4809" s="6">
        <v>4807</v>
      </c>
      <c r="B4809" s="7" t="str">
        <f t="shared" si="965"/>
        <v>702</v>
      </c>
      <c r="C4809" s="7" t="s">
        <v>3781</v>
      </c>
      <c r="D4809" s="7" t="s">
        <v>3646</v>
      </c>
      <c r="E4809" s="7" t="str">
        <f>"胡小个"</f>
        <v>胡小个</v>
      </c>
      <c r="F4809" s="7" t="str">
        <f t="shared" si="968"/>
        <v>女</v>
      </c>
      <c r="G4809" s="7" t="s">
        <v>3814</v>
      </c>
      <c r="H4809" s="8"/>
    </row>
    <row r="4810" ht="25" customHeight="1" spans="1:8">
      <c r="A4810" s="6">
        <v>4808</v>
      </c>
      <c r="B4810" s="7" t="str">
        <f t="shared" si="965"/>
        <v>702</v>
      </c>
      <c r="C4810" s="7" t="s">
        <v>3781</v>
      </c>
      <c r="D4810" s="7" t="s">
        <v>3646</v>
      </c>
      <c r="E4810" s="7" t="str">
        <f>"高娟"</f>
        <v>高娟</v>
      </c>
      <c r="F4810" s="7" t="str">
        <f t="shared" si="968"/>
        <v>女</v>
      </c>
      <c r="G4810" s="7" t="s">
        <v>3815</v>
      </c>
      <c r="H4810" s="8"/>
    </row>
    <row r="4811" ht="25" customHeight="1" spans="1:8">
      <c r="A4811" s="6">
        <v>4809</v>
      </c>
      <c r="B4811" s="7" t="str">
        <f t="shared" si="965"/>
        <v>702</v>
      </c>
      <c r="C4811" s="7" t="s">
        <v>3781</v>
      </c>
      <c r="D4811" s="7" t="s">
        <v>3646</v>
      </c>
      <c r="E4811" s="7" t="str">
        <f>"周抒情"</f>
        <v>周抒情</v>
      </c>
      <c r="F4811" s="7" t="str">
        <f t="shared" si="968"/>
        <v>女</v>
      </c>
      <c r="G4811" s="7" t="s">
        <v>3816</v>
      </c>
      <c r="H4811" s="8"/>
    </row>
    <row r="4812" ht="25" customHeight="1" spans="1:8">
      <c r="A4812" s="6">
        <v>4810</v>
      </c>
      <c r="B4812" s="7" t="str">
        <f t="shared" si="965"/>
        <v>702</v>
      </c>
      <c r="C4812" s="7" t="s">
        <v>3781</v>
      </c>
      <c r="D4812" s="7" t="s">
        <v>3646</v>
      </c>
      <c r="E4812" s="7" t="str">
        <f>"吴婵婵"</f>
        <v>吴婵婵</v>
      </c>
      <c r="F4812" s="7" t="str">
        <f t="shared" si="968"/>
        <v>女</v>
      </c>
      <c r="G4812" s="7" t="s">
        <v>2176</v>
      </c>
      <c r="H4812" s="8"/>
    </row>
    <row r="4813" ht="25" customHeight="1" spans="1:8">
      <c r="A4813" s="6">
        <v>4811</v>
      </c>
      <c r="B4813" s="7" t="str">
        <f t="shared" si="965"/>
        <v>702</v>
      </c>
      <c r="C4813" s="7" t="s">
        <v>3781</v>
      </c>
      <c r="D4813" s="7" t="s">
        <v>3646</v>
      </c>
      <c r="E4813" s="7" t="str">
        <f>"谢水越"</f>
        <v>谢水越</v>
      </c>
      <c r="F4813" s="7" t="str">
        <f t="shared" si="968"/>
        <v>女</v>
      </c>
      <c r="G4813" s="7" t="s">
        <v>383</v>
      </c>
      <c r="H4813" s="8"/>
    </row>
    <row r="4814" ht="25" customHeight="1" spans="1:8">
      <c r="A4814" s="6">
        <v>4812</v>
      </c>
      <c r="B4814" s="7" t="str">
        <f t="shared" si="965"/>
        <v>702</v>
      </c>
      <c r="C4814" s="7" t="s">
        <v>3781</v>
      </c>
      <c r="D4814" s="7" t="s">
        <v>3646</v>
      </c>
      <c r="E4814" s="7" t="str">
        <f>"吴元妮"</f>
        <v>吴元妮</v>
      </c>
      <c r="F4814" s="7" t="str">
        <f t="shared" si="968"/>
        <v>女</v>
      </c>
      <c r="G4814" s="7" t="s">
        <v>371</v>
      </c>
      <c r="H4814" s="8"/>
    </row>
    <row r="4815" ht="25" customHeight="1" spans="1:8">
      <c r="A4815" s="6">
        <v>4813</v>
      </c>
      <c r="B4815" s="7" t="str">
        <f t="shared" si="965"/>
        <v>702</v>
      </c>
      <c r="C4815" s="7" t="s">
        <v>3781</v>
      </c>
      <c r="D4815" s="7" t="s">
        <v>3646</v>
      </c>
      <c r="E4815" s="7" t="str">
        <f>"吴咏诗"</f>
        <v>吴咏诗</v>
      </c>
      <c r="F4815" s="7" t="str">
        <f t="shared" si="968"/>
        <v>女</v>
      </c>
      <c r="G4815" s="7" t="s">
        <v>3817</v>
      </c>
      <c r="H4815" s="8"/>
    </row>
    <row r="4816" ht="25" customHeight="1" spans="1:8">
      <c r="A4816" s="6">
        <v>4814</v>
      </c>
      <c r="B4816" s="7" t="str">
        <f t="shared" si="965"/>
        <v>702</v>
      </c>
      <c r="C4816" s="7" t="s">
        <v>3781</v>
      </c>
      <c r="D4816" s="7" t="s">
        <v>3646</v>
      </c>
      <c r="E4816" s="7" t="str">
        <f>"苏理娟"</f>
        <v>苏理娟</v>
      </c>
      <c r="F4816" s="7" t="str">
        <f t="shared" si="968"/>
        <v>女</v>
      </c>
      <c r="G4816" s="7" t="s">
        <v>3818</v>
      </c>
      <c r="H4816" s="8"/>
    </row>
    <row r="4817" ht="25" customHeight="1" spans="1:8">
      <c r="A4817" s="6">
        <v>4815</v>
      </c>
      <c r="B4817" s="7" t="str">
        <f t="shared" si="965"/>
        <v>702</v>
      </c>
      <c r="C4817" s="7" t="s">
        <v>3781</v>
      </c>
      <c r="D4817" s="7" t="s">
        <v>3646</v>
      </c>
      <c r="E4817" s="7" t="str">
        <f>"杨敬"</f>
        <v>杨敬</v>
      </c>
      <c r="F4817" s="7" t="str">
        <f>"男"</f>
        <v>男</v>
      </c>
      <c r="G4817" s="7" t="s">
        <v>3819</v>
      </c>
      <c r="H4817" s="8"/>
    </row>
    <row r="4818" ht="25" customHeight="1" spans="1:8">
      <c r="A4818" s="6">
        <v>4816</v>
      </c>
      <c r="B4818" s="7" t="str">
        <f t="shared" si="965"/>
        <v>702</v>
      </c>
      <c r="C4818" s="7" t="s">
        <v>3781</v>
      </c>
      <c r="D4818" s="7" t="s">
        <v>3646</v>
      </c>
      <c r="E4818" s="7" t="str">
        <f>"蓝小贝"</f>
        <v>蓝小贝</v>
      </c>
      <c r="F4818" s="7" t="str">
        <f t="shared" ref="F4818:F4829" si="969">"女"</f>
        <v>女</v>
      </c>
      <c r="G4818" s="7" t="s">
        <v>109</v>
      </c>
      <c r="H4818" s="8"/>
    </row>
    <row r="4819" ht="25" customHeight="1" spans="1:8">
      <c r="A4819" s="6">
        <v>4817</v>
      </c>
      <c r="B4819" s="7" t="str">
        <f t="shared" si="965"/>
        <v>702</v>
      </c>
      <c r="C4819" s="7" t="s">
        <v>3781</v>
      </c>
      <c r="D4819" s="7" t="s">
        <v>3646</v>
      </c>
      <c r="E4819" s="7" t="str">
        <f>"李秀英"</f>
        <v>李秀英</v>
      </c>
      <c r="F4819" s="7" t="str">
        <f t="shared" si="969"/>
        <v>女</v>
      </c>
      <c r="G4819" s="7" t="s">
        <v>3461</v>
      </c>
      <c r="H4819" s="8"/>
    </row>
    <row r="4820" ht="25" customHeight="1" spans="1:8">
      <c r="A4820" s="6">
        <v>4818</v>
      </c>
      <c r="B4820" s="7" t="str">
        <f t="shared" si="965"/>
        <v>702</v>
      </c>
      <c r="C4820" s="7" t="s">
        <v>3781</v>
      </c>
      <c r="D4820" s="7" t="s">
        <v>3646</v>
      </c>
      <c r="E4820" s="7" t="str">
        <f>"邱丽翔"</f>
        <v>邱丽翔</v>
      </c>
      <c r="F4820" s="7" t="str">
        <f t="shared" si="969"/>
        <v>女</v>
      </c>
      <c r="G4820" s="7" t="s">
        <v>3820</v>
      </c>
      <c r="H4820" s="8"/>
    </row>
    <row r="4821" ht="25" customHeight="1" spans="1:8">
      <c r="A4821" s="6">
        <v>4819</v>
      </c>
      <c r="B4821" s="7" t="str">
        <f t="shared" si="965"/>
        <v>702</v>
      </c>
      <c r="C4821" s="7" t="s">
        <v>3781</v>
      </c>
      <c r="D4821" s="7" t="s">
        <v>3646</v>
      </c>
      <c r="E4821" s="7" t="str">
        <f>"符玉娘"</f>
        <v>符玉娘</v>
      </c>
      <c r="F4821" s="7" t="str">
        <f t="shared" si="969"/>
        <v>女</v>
      </c>
      <c r="G4821" s="7" t="s">
        <v>3821</v>
      </c>
      <c r="H4821" s="8"/>
    </row>
    <row r="4822" ht="25" customHeight="1" spans="1:8">
      <c r="A4822" s="6">
        <v>4820</v>
      </c>
      <c r="B4822" s="7" t="str">
        <f t="shared" si="965"/>
        <v>702</v>
      </c>
      <c r="C4822" s="7" t="s">
        <v>3781</v>
      </c>
      <c r="D4822" s="7" t="s">
        <v>3646</v>
      </c>
      <c r="E4822" s="7" t="str">
        <f>"杨雪"</f>
        <v>杨雪</v>
      </c>
      <c r="F4822" s="7" t="str">
        <f t="shared" si="969"/>
        <v>女</v>
      </c>
      <c r="G4822" s="7" t="s">
        <v>3822</v>
      </c>
      <c r="H4822" s="8"/>
    </row>
    <row r="4823" ht="25" customHeight="1" spans="1:8">
      <c r="A4823" s="6">
        <v>4821</v>
      </c>
      <c r="B4823" s="7" t="str">
        <f t="shared" ref="B4823:B4833" si="970">"702"</f>
        <v>702</v>
      </c>
      <c r="C4823" s="7" t="s">
        <v>3781</v>
      </c>
      <c r="D4823" s="7" t="s">
        <v>3646</v>
      </c>
      <c r="E4823" s="7" t="str">
        <f>"王海萍"</f>
        <v>王海萍</v>
      </c>
      <c r="F4823" s="7" t="str">
        <f t="shared" si="969"/>
        <v>女</v>
      </c>
      <c r="G4823" s="7" t="s">
        <v>3304</v>
      </c>
      <c r="H4823" s="8"/>
    </row>
    <row r="4824" ht="25" customHeight="1" spans="1:8">
      <c r="A4824" s="6">
        <v>4822</v>
      </c>
      <c r="B4824" s="7" t="str">
        <f t="shared" si="970"/>
        <v>702</v>
      </c>
      <c r="C4824" s="7" t="s">
        <v>3781</v>
      </c>
      <c r="D4824" s="7" t="s">
        <v>3646</v>
      </c>
      <c r="E4824" s="7" t="str">
        <f>"翁玲"</f>
        <v>翁玲</v>
      </c>
      <c r="F4824" s="7" t="str">
        <f t="shared" si="969"/>
        <v>女</v>
      </c>
      <c r="G4824" s="7" t="s">
        <v>3823</v>
      </c>
      <c r="H4824" s="8"/>
    </row>
    <row r="4825" ht="25" customHeight="1" spans="1:8">
      <c r="A4825" s="6">
        <v>4823</v>
      </c>
      <c r="B4825" s="7" t="str">
        <f t="shared" si="970"/>
        <v>702</v>
      </c>
      <c r="C4825" s="7" t="s">
        <v>3781</v>
      </c>
      <c r="D4825" s="7" t="s">
        <v>3646</v>
      </c>
      <c r="E4825" s="7" t="str">
        <f>"谷盈春"</f>
        <v>谷盈春</v>
      </c>
      <c r="F4825" s="7" t="str">
        <f t="shared" si="969"/>
        <v>女</v>
      </c>
      <c r="G4825" s="7" t="s">
        <v>3824</v>
      </c>
      <c r="H4825" s="8"/>
    </row>
    <row r="4826" ht="25" customHeight="1" spans="1:8">
      <c r="A4826" s="6">
        <v>4824</v>
      </c>
      <c r="B4826" s="7" t="str">
        <f t="shared" si="970"/>
        <v>702</v>
      </c>
      <c r="C4826" s="7" t="s">
        <v>3781</v>
      </c>
      <c r="D4826" s="7" t="s">
        <v>3646</v>
      </c>
      <c r="E4826" s="7" t="str">
        <f>"邓美珠"</f>
        <v>邓美珠</v>
      </c>
      <c r="F4826" s="7" t="str">
        <f t="shared" si="969"/>
        <v>女</v>
      </c>
      <c r="G4826" s="7" t="s">
        <v>1558</v>
      </c>
      <c r="H4826" s="8"/>
    </row>
    <row r="4827" ht="25" customHeight="1" spans="1:8">
      <c r="A4827" s="6">
        <v>4825</v>
      </c>
      <c r="B4827" s="7" t="str">
        <f t="shared" si="970"/>
        <v>702</v>
      </c>
      <c r="C4827" s="7" t="s">
        <v>3781</v>
      </c>
      <c r="D4827" s="7" t="s">
        <v>3646</v>
      </c>
      <c r="E4827" s="7" t="str">
        <f>"罗梅香"</f>
        <v>罗梅香</v>
      </c>
      <c r="F4827" s="7" t="str">
        <f t="shared" si="969"/>
        <v>女</v>
      </c>
      <c r="G4827" s="7" t="s">
        <v>2662</v>
      </c>
      <c r="H4827" s="8"/>
    </row>
    <row r="4828" ht="25" customHeight="1" spans="1:8">
      <c r="A4828" s="6">
        <v>4826</v>
      </c>
      <c r="B4828" s="7" t="str">
        <f t="shared" si="970"/>
        <v>702</v>
      </c>
      <c r="C4828" s="7" t="s">
        <v>3781</v>
      </c>
      <c r="D4828" s="7" t="s">
        <v>3646</v>
      </c>
      <c r="E4828" s="7" t="str">
        <f>"孙晓琦"</f>
        <v>孙晓琦</v>
      </c>
      <c r="F4828" s="7" t="str">
        <f t="shared" si="969"/>
        <v>女</v>
      </c>
      <c r="G4828" s="7" t="s">
        <v>828</v>
      </c>
      <c r="H4828" s="8"/>
    </row>
    <row r="4829" ht="25" customHeight="1" spans="1:8">
      <c r="A4829" s="6">
        <v>4827</v>
      </c>
      <c r="B4829" s="7" t="str">
        <f t="shared" si="970"/>
        <v>702</v>
      </c>
      <c r="C4829" s="7" t="s">
        <v>3781</v>
      </c>
      <c r="D4829" s="7" t="s">
        <v>3646</v>
      </c>
      <c r="E4829" s="7" t="str">
        <f>"邢晓晖"</f>
        <v>邢晓晖</v>
      </c>
      <c r="F4829" s="7" t="str">
        <f t="shared" si="969"/>
        <v>女</v>
      </c>
      <c r="G4829" s="7" t="s">
        <v>3825</v>
      </c>
      <c r="H4829" s="8"/>
    </row>
    <row r="4830" ht="25" customHeight="1" spans="1:8">
      <c r="A4830" s="6">
        <v>4828</v>
      </c>
      <c r="B4830" s="7" t="str">
        <f t="shared" si="970"/>
        <v>702</v>
      </c>
      <c r="C4830" s="7" t="s">
        <v>3781</v>
      </c>
      <c r="D4830" s="7" t="s">
        <v>3646</v>
      </c>
      <c r="E4830" s="7" t="str">
        <f>"陈太毅"</f>
        <v>陈太毅</v>
      </c>
      <c r="F4830" s="7" t="str">
        <f>"男"</f>
        <v>男</v>
      </c>
      <c r="G4830" s="7" t="s">
        <v>1359</v>
      </c>
      <c r="H4830" s="8"/>
    </row>
    <row r="4831" ht="25" customHeight="1" spans="1:8">
      <c r="A4831" s="6">
        <v>4829</v>
      </c>
      <c r="B4831" s="7" t="str">
        <f t="shared" si="970"/>
        <v>702</v>
      </c>
      <c r="C4831" s="7" t="s">
        <v>3781</v>
      </c>
      <c r="D4831" s="7" t="s">
        <v>3646</v>
      </c>
      <c r="E4831" s="7" t="str">
        <f>"郭日平"</f>
        <v>郭日平</v>
      </c>
      <c r="F4831" s="7" t="str">
        <f t="shared" ref="F4831:F4833" si="971">"女"</f>
        <v>女</v>
      </c>
      <c r="G4831" s="7" t="s">
        <v>3826</v>
      </c>
      <c r="H4831" s="8"/>
    </row>
    <row r="4832" ht="25" customHeight="1" spans="1:8">
      <c r="A4832" s="6">
        <v>4830</v>
      </c>
      <c r="B4832" s="7" t="str">
        <f t="shared" si="970"/>
        <v>702</v>
      </c>
      <c r="C4832" s="7" t="s">
        <v>3781</v>
      </c>
      <c r="D4832" s="7" t="s">
        <v>3646</v>
      </c>
      <c r="E4832" s="7" t="str">
        <f>"王含语"</f>
        <v>王含语</v>
      </c>
      <c r="F4832" s="7" t="str">
        <f t="shared" si="971"/>
        <v>女</v>
      </c>
      <c r="G4832" s="7" t="s">
        <v>3580</v>
      </c>
      <c r="H4832" s="8"/>
    </row>
    <row r="4833" ht="25" customHeight="1" spans="1:8">
      <c r="A4833" s="6">
        <v>4831</v>
      </c>
      <c r="B4833" s="7" t="str">
        <f t="shared" si="970"/>
        <v>702</v>
      </c>
      <c r="C4833" s="7" t="s">
        <v>3781</v>
      </c>
      <c r="D4833" s="7" t="s">
        <v>3646</v>
      </c>
      <c r="E4833" s="7" t="str">
        <f>"王慧琴"</f>
        <v>王慧琴</v>
      </c>
      <c r="F4833" s="7" t="str">
        <f t="shared" si="971"/>
        <v>女</v>
      </c>
      <c r="G4833" s="7" t="s">
        <v>1985</v>
      </c>
      <c r="H4833" s="8"/>
    </row>
  </sheetData>
  <mergeCells count="1">
    <mergeCell ref="A1:G1"/>
  </mergeCells>
  <printOptions horizontalCentered="1"/>
  <pageMargins left="0.161111111111111" right="0.161111111111111" top="0.60625" bottom="0.409027777777778" header="0.5" footer="0.5"/>
  <pageSetup paperSize="9" orientation="landscape" horizontalDpi="600"/>
  <headerFooter/>
  <ignoredErrors>
    <ignoredError sqref="B1:F1 A2:F2 A3:A48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资格初审合格确认笔试人员名单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罗星</cp:lastModifiedBy>
  <dcterms:created xsi:type="dcterms:W3CDTF">2026-05-08T04:47:00Z</dcterms:created>
  <dcterms:modified xsi:type="dcterms:W3CDTF">2026-05-21T03:56:56Z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AAB8125C4A0F4FB985E016D518AB9664_13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