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infos.xml" ContentType="application/vnd.wps-officedocument.woinfo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2188" windowHeight="9060"/>
  </bookViews>
  <sheets>
    <sheet name="Sheet2" sheetId="3" r:id="rId1"/>
  </sheets>
  <definedNames>
    <definedName name="_xlnm._FilterDatabase" localSheetId="0" hidden="1">Sheet2!$A$3:$XFB$3</definedName>
  </definedNames>
  <calcPr calcId="144525"/>
</workbook>
</file>

<file path=xl/sharedStrings.xml><?xml version="1.0" encoding="utf-8"?>
<sst xmlns="http://schemas.openxmlformats.org/spreadsheetml/2006/main" count="663" uniqueCount="155">
  <si>
    <t>附件1：</t>
  </si>
  <si>
    <r>
      <rPr>
        <sz val="16"/>
        <color theme="1"/>
        <rFont val="方正书宋_GBK"/>
        <charset val="134"/>
      </rPr>
      <t>三亚市崖州区</t>
    </r>
    <r>
      <rPr>
        <sz val="16"/>
        <color theme="1"/>
        <rFont val="Arial"/>
        <charset val="134"/>
      </rPr>
      <t>2026</t>
    </r>
    <r>
      <rPr>
        <sz val="16"/>
        <color theme="1"/>
        <rFont val="方正书宋_GBK"/>
        <charset val="134"/>
      </rPr>
      <t>年面向社会公开招聘事业单位工作人员（含教师）体检、考察结果及进入拟录用人员名单</t>
    </r>
  </si>
  <si>
    <t>序号</t>
  </si>
  <si>
    <t>姓名</t>
  </si>
  <si>
    <t>报考单位</t>
  </si>
  <si>
    <t>报考岗位及代码</t>
  </si>
  <si>
    <t>准考证号</t>
  </si>
  <si>
    <t>出生年月</t>
  </si>
  <si>
    <t>性别</t>
  </si>
  <si>
    <t>政治面貌</t>
  </si>
  <si>
    <t>学历</t>
  </si>
  <si>
    <t>学位</t>
  </si>
  <si>
    <t>毕业院校</t>
  </si>
  <si>
    <t>综合成绩</t>
  </si>
  <si>
    <t>体检结果</t>
  </si>
  <si>
    <t>考察结果</t>
  </si>
  <si>
    <t>是否拟录用</t>
  </si>
  <si>
    <t>备注</t>
  </si>
  <si>
    <t>三亚市崖州区人才发展服务中心</t>
  </si>
  <si>
    <t>九级管理岗101</t>
  </si>
  <si>
    <t>260530011326</t>
  </si>
  <si>
    <t>女</t>
  </si>
  <si>
    <t>本科</t>
  </si>
  <si>
    <t>学士</t>
  </si>
  <si>
    <t>合格</t>
  </si>
  <si>
    <t>是</t>
  </si>
  <si>
    <t>260530011608</t>
  </si>
  <si>
    <t>三亚市崖州区文明城市建设服务中心</t>
  </si>
  <si>
    <t>九级管理岗102</t>
  </si>
  <si>
    <t>260530012227</t>
  </si>
  <si>
    <t>男</t>
  </si>
  <si>
    <t>三亚市崖州区信访服务中心</t>
  </si>
  <si>
    <t>九级管理岗103</t>
  </si>
  <si>
    <t>260530024728</t>
  </si>
  <si>
    <t>三亚市崖州区项目投资服务中心</t>
  </si>
  <si>
    <t>九级管理岗104</t>
  </si>
  <si>
    <t>260530027314</t>
  </si>
  <si>
    <t>三亚市崖州区农业农村综合服务中心</t>
  </si>
  <si>
    <t>九级管理岗105</t>
  </si>
  <si>
    <t>260530039214</t>
  </si>
  <si>
    <t>三亚崖州湾科技城上海世外教育附属外国语学校</t>
  </si>
  <si>
    <t>初中数学教师201</t>
  </si>
  <si>
    <t>260530040104</t>
  </si>
  <si>
    <t>260530040103</t>
  </si>
  <si>
    <t>初中物理教师202</t>
  </si>
  <si>
    <t>260530040406</t>
  </si>
  <si>
    <t>初中语文教师203</t>
  </si>
  <si>
    <t>260530040510</t>
  </si>
  <si>
    <t>初中音乐教师204</t>
  </si>
  <si>
    <t>260530040901</t>
  </si>
  <si>
    <t>初中英语教师205</t>
  </si>
  <si>
    <t>260530041502</t>
  </si>
  <si>
    <t>初中化学教师206</t>
  </si>
  <si>
    <t>260530040818</t>
  </si>
  <si>
    <t>初中历史教师208</t>
  </si>
  <si>
    <t>260530041908</t>
  </si>
  <si>
    <t>小学心理健康教师209</t>
  </si>
  <si>
    <t>260530042308</t>
  </si>
  <si>
    <t>研究生</t>
  </si>
  <si>
    <t>硕士</t>
  </si>
  <si>
    <t>小学英语教师210</t>
  </si>
  <si>
    <t>260530042727</t>
  </si>
  <si>
    <t>小学音乐教师213</t>
  </si>
  <si>
    <t>260530041203</t>
  </si>
  <si>
    <t>小学科学教师214</t>
  </si>
  <si>
    <t>260530042215</t>
  </si>
  <si>
    <t>三亚崖州湾科技城寰岛实验中学</t>
  </si>
  <si>
    <t>高中语文教师301</t>
  </si>
  <si>
    <t>260530043014</t>
  </si>
  <si>
    <t>260530043107</t>
  </si>
  <si>
    <t>260530043115</t>
  </si>
  <si>
    <t>260530043122</t>
  </si>
  <si>
    <t>260530043220</t>
  </si>
  <si>
    <t>高中数学教师302</t>
  </si>
  <si>
    <t>260530042611</t>
  </si>
  <si>
    <t>260530042604</t>
  </si>
  <si>
    <t>260530042627</t>
  </si>
  <si>
    <t>薄佳欣</t>
  </si>
  <si>
    <t>260530042527</t>
  </si>
  <si>
    <t>260530042522</t>
  </si>
  <si>
    <t>高中英语教师303</t>
  </si>
  <si>
    <t>文莹</t>
  </si>
  <si>
    <t>共青团员</t>
  </si>
  <si>
    <t>260530043701</t>
  </si>
  <si>
    <t>260530043723</t>
  </si>
  <si>
    <t>鞍山师范学院</t>
  </si>
  <si>
    <t>高中物理教师304</t>
  </si>
  <si>
    <t>260530053902</t>
  </si>
  <si>
    <t>260530053904</t>
  </si>
  <si>
    <t>高中化学教师305</t>
  </si>
  <si>
    <t>260530054118</t>
  </si>
  <si>
    <t>260530054012</t>
  </si>
  <si>
    <t>高中生物教师306</t>
  </si>
  <si>
    <t>260530054503</t>
  </si>
  <si>
    <t>高中思想政治教师307</t>
  </si>
  <si>
    <t>260530054715</t>
  </si>
  <si>
    <t>高中历史教师308</t>
  </si>
  <si>
    <t>260530054812</t>
  </si>
  <si>
    <t>260530054905</t>
  </si>
  <si>
    <t>高中体育教师309</t>
  </si>
  <si>
    <t>260530055412</t>
  </si>
  <si>
    <t>260530055524</t>
  </si>
  <si>
    <t>三亚市崖城中学</t>
  </si>
  <si>
    <t>初中地理教师401</t>
  </si>
  <si>
    <t>260530055020</t>
  </si>
  <si>
    <t>三亚市崖州区南滨中学</t>
  </si>
  <si>
    <t>初中道德与法治教师501</t>
  </si>
  <si>
    <t>260530041802</t>
  </si>
  <si>
    <t>无</t>
  </si>
  <si>
    <t>邢叶霜</t>
  </si>
  <si>
    <t>260530041716</t>
  </si>
  <si>
    <t>林尤锐</t>
  </si>
  <si>
    <t>初中体育教师502</t>
  </si>
  <si>
    <t>群众</t>
  </si>
  <si>
    <t>初中地理教师503</t>
  </si>
  <si>
    <t>260530055122</t>
  </si>
  <si>
    <t>初中音乐（舞蹈）教师504</t>
  </si>
  <si>
    <t>260530040909</t>
  </si>
  <si>
    <t>初中美术教师505</t>
  </si>
  <si>
    <t>260530056729</t>
  </si>
  <si>
    <t>初中语文教师506</t>
  </si>
  <si>
    <t>260530040705</t>
  </si>
  <si>
    <t>初中数学教师507</t>
  </si>
  <si>
    <t>260530040211</t>
  </si>
  <si>
    <t>三亚市崖州区保港中学</t>
  </si>
  <si>
    <t>初中数学教师601</t>
  </si>
  <si>
    <t>260530040308</t>
  </si>
  <si>
    <t>初中英语教师602</t>
  </si>
  <si>
    <t>260530041605</t>
  </si>
  <si>
    <t>初中物理教师603</t>
  </si>
  <si>
    <t>260530040425</t>
  </si>
  <si>
    <t>初中道德与法治教师604</t>
  </si>
  <si>
    <t>260530041810</t>
  </si>
  <si>
    <t>初中历史教师605</t>
  </si>
  <si>
    <t>260530041911</t>
  </si>
  <si>
    <t>初中生物教师606</t>
  </si>
  <si>
    <t>260530057108</t>
  </si>
  <si>
    <t>260530057330</t>
  </si>
  <si>
    <t>初中地理教师607</t>
  </si>
  <si>
    <t>260530055306</t>
  </si>
  <si>
    <t>260530055302</t>
  </si>
  <si>
    <t>海南师范大学</t>
  </si>
  <si>
    <t>三亚市崖州区公办小学</t>
  </si>
  <si>
    <t>小学体育教师701</t>
  </si>
  <si>
    <t>260530056024</t>
  </si>
  <si>
    <t>260530056028</t>
  </si>
  <si>
    <t>秦菲菲</t>
  </si>
  <si>
    <t>260530056112</t>
  </si>
  <si>
    <t>中共党员</t>
  </si>
  <si>
    <t>小学道德与法治教师702</t>
  </si>
  <si>
    <t>260530057504</t>
  </si>
  <si>
    <t>260530057624</t>
  </si>
  <si>
    <t>260530057515</t>
  </si>
  <si>
    <t>260530057416</t>
  </si>
  <si>
    <t>260530057618</t>
  </si>
</sst>
</file>

<file path=xl/styles.xml><?xml version="1.0" encoding="utf-8"?>
<styleSheet xmlns="http://schemas.openxmlformats.org/spreadsheetml/2006/main">
  <numFmts count="38">
    <numFmt numFmtId="176" formatCode="\¥#,##0.00;[Red]\¥\-#,##0.00"/>
    <numFmt numFmtId="177" formatCode="[DBNum1][$-804]yyyy&quot;年&quot;m&quot;月&quot;"/>
    <numFmt numFmtId="178" formatCode="#\ ??/??"/>
    <numFmt numFmtId="179" formatCode="mmmm\-yy"/>
    <numFmt numFmtId="7" formatCode="&quot;￥&quot;#,##0.00;&quot;￥&quot;\-#,##0.00"/>
    <numFmt numFmtId="25" formatCode="\$#,##0.00_);\(\$#,##0.00\)"/>
    <numFmt numFmtId="180" formatCode="yy/m/d"/>
    <numFmt numFmtId="181" formatCode="mmmmm\-yy"/>
    <numFmt numFmtId="6" formatCode="&quot;￥&quot;#,##0;[Red]&quot;￥&quot;\-#,##0"/>
    <numFmt numFmtId="182" formatCode="h:mm:ss\ AM/PM"/>
    <numFmt numFmtId="183" formatCode="[$-804]aaa"/>
    <numFmt numFmtId="8" formatCode="&quot;￥&quot;#,##0.00;[Red]&quot;￥&quot;\-#,##0.00"/>
    <numFmt numFmtId="184" formatCode="mm/dd/yy"/>
    <numFmt numFmtId="26" formatCode="\$#,##0.00_);[Red]\(\$#,##0.00\)"/>
    <numFmt numFmtId="185" formatCode="yyyy/m/d\ h:mm\ AM/PM"/>
    <numFmt numFmtId="186" formatCode="dd\-mmm\-yy"/>
    <numFmt numFmtId="43" formatCode="_ * #,##0.00_ ;_ * \-#,##0.00_ ;_ * &quot;-&quot;??_ ;_ @_ "/>
    <numFmt numFmtId="42" formatCode="_ &quot;￥&quot;* #,##0_ ;_ &quot;￥&quot;* \-#,##0_ ;_ &quot;￥&quot;* &quot;-&quot;_ ;_ @_ "/>
    <numFmt numFmtId="23" formatCode="\$#,##0_);\(\$#,##0\)"/>
    <numFmt numFmtId="187" formatCode="mmmmm"/>
    <numFmt numFmtId="188" formatCode="[DBNum1]h&quot;时&quot;mm&quot;分&quot;"/>
    <numFmt numFmtId="5" formatCode="&quot;￥&quot;#,##0;&quot;￥&quot;\-#,##0"/>
    <numFmt numFmtId="189" formatCode="#\ ??"/>
    <numFmt numFmtId="190" formatCode="m/d"/>
    <numFmt numFmtId="191" formatCode="\¥#,##0;\¥\-#,##0"/>
    <numFmt numFmtId="192" formatCode="[DBNum1][$-804]m&quot;月&quot;d&quot;日&quot;"/>
    <numFmt numFmtId="41" formatCode="_ * #,##0_ ;_ * \-#,##0_ ;_ * &quot;-&quot;_ ;_ @_ "/>
    <numFmt numFmtId="193" formatCode="0.00_ "/>
    <numFmt numFmtId="194" formatCode="\¥#,##0;[Red]\¥\-#,##0"/>
    <numFmt numFmtId="195" formatCode="yyyy&quot;年&quot;m&quot;月&quot;;@"/>
    <numFmt numFmtId="196" formatCode="#\ ?/?"/>
    <numFmt numFmtId="197" formatCode="[DBNum1][$-804]yyyy&quot;年&quot;m&quot;月&quot;d&quot;日&quot;"/>
    <numFmt numFmtId="198" formatCode="h:mm\ AM/PM"/>
    <numFmt numFmtId="44" formatCode="_ &quot;￥&quot;* #,##0.00_ ;_ &quot;￥&quot;* \-#,##0.00_ ;_ &quot;￥&quot;* &quot;-&quot;??_ ;_ @_ "/>
    <numFmt numFmtId="199" formatCode="[DBNum1]上午/下午h&quot;时&quot;mm&quot;分&quot;"/>
    <numFmt numFmtId="24" formatCode="\$#,##0_);[Red]\(\$#,##0\)"/>
    <numFmt numFmtId="200" formatCode="\¥#,##0.00;\¥\-#,##0.00"/>
    <numFmt numFmtId="201" formatCode="[$-804]aaaa"/>
  </numFmts>
  <fonts count="31">
    <font>
      <sz val="10"/>
      <color theme="1"/>
      <name val="Arial"/>
      <charset val="134"/>
    </font>
    <font>
      <b/>
      <sz val="10"/>
      <color theme="1"/>
      <name val="Arial"/>
      <charset val="134"/>
    </font>
    <font>
      <sz val="10"/>
      <name val="Arial"/>
      <charset val="134"/>
    </font>
    <font>
      <sz val="10"/>
      <color theme="1"/>
      <name val="方正书宋_GBK"/>
      <charset val="134"/>
    </font>
    <font>
      <sz val="16"/>
      <color theme="1"/>
      <name val="方正书宋_GBK"/>
      <charset val="134"/>
    </font>
    <font>
      <sz val="16"/>
      <color theme="1"/>
      <name val="Arial"/>
      <charset val="134"/>
    </font>
    <font>
      <b/>
      <sz val="11"/>
      <color theme="1"/>
      <name val="宋体"/>
      <charset val="134"/>
    </font>
    <font>
      <sz val="11"/>
      <color theme="1"/>
      <name val="国标仿宋"/>
      <charset val="134"/>
    </font>
    <font>
      <b/>
      <sz val="11"/>
      <color theme="1"/>
      <name val="方正书宋_GBK"/>
      <charset val="134"/>
    </font>
    <font>
      <sz val="11"/>
      <name val="国标仿宋"/>
      <charset val="134"/>
    </font>
    <font>
      <sz val="11"/>
      <color rgb="FFFF0000"/>
      <name val="国标仿宋"/>
      <charset val="134"/>
    </font>
    <font>
      <sz val="11"/>
      <color rgb="FFFA7D00"/>
      <name val="等线"/>
      <charset val="0"/>
      <scheme val="minor"/>
    </font>
    <font>
      <sz val="11"/>
      <color theme="1"/>
      <name val="等线"/>
      <charset val="0"/>
      <scheme val="minor"/>
    </font>
    <font>
      <b/>
      <sz val="13"/>
      <color theme="3"/>
      <name val="等线"/>
      <charset val="134"/>
      <scheme val="minor"/>
    </font>
    <font>
      <sz val="11"/>
      <color theme="1"/>
      <name val="等线"/>
      <charset val="134"/>
      <scheme val="minor"/>
    </font>
    <font>
      <u/>
      <sz val="11"/>
      <color rgb="FF0000FF"/>
      <name val="等线"/>
      <charset val="0"/>
      <scheme val="minor"/>
    </font>
    <font>
      <b/>
      <sz val="18"/>
      <color theme="3"/>
      <name val="等线"/>
      <charset val="134"/>
      <scheme val="minor"/>
    </font>
    <font>
      <sz val="11"/>
      <color rgb="FFFF0000"/>
      <name val="等线"/>
      <charset val="0"/>
      <scheme val="minor"/>
    </font>
    <font>
      <b/>
      <sz val="11"/>
      <color theme="3"/>
      <name val="等线"/>
      <charset val="134"/>
      <scheme val="minor"/>
    </font>
    <font>
      <sz val="11"/>
      <color theme="0"/>
      <name val="等线"/>
      <charset val="0"/>
      <scheme val="minor"/>
    </font>
    <font>
      <i/>
      <sz val="11"/>
      <color rgb="FF7F7F7F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6500"/>
      <name val="等线"/>
      <charset val="0"/>
      <scheme val="minor"/>
    </font>
    <font>
      <b/>
      <sz val="15"/>
      <color theme="3"/>
      <name val="等线"/>
      <charset val="134"/>
      <scheme val="minor"/>
    </font>
    <font>
      <u/>
      <sz val="11"/>
      <color rgb="FF800080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3F3F76"/>
      <name val="等线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7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5">
    <xf numFmtId="0" fontId="0" fillId="0" borderId="0">
      <alignment vertical="center"/>
    </xf>
    <xf numFmtId="44" fontId="0" fillId="0" borderId="0" applyFont="0" applyFill="0" applyBorder="0" applyAlignment="0" applyProtection="0"/>
    <xf numFmtId="0" fontId="0" fillId="0" borderId="0"/>
    <xf numFmtId="9" fontId="0" fillId="0" borderId="0" applyFont="0" applyFill="0" applyBorder="0" applyAlignment="0" applyProtection="0"/>
    <xf numFmtId="41" fontId="0" fillId="0" borderId="0" applyFont="0" applyFill="0" applyBorder="0" applyAlignment="0" applyProtection="0"/>
    <xf numFmtId="42" fontId="0" fillId="0" borderId="0" applyFont="0" applyFill="0" applyBorder="0" applyAlignment="0" applyProtection="0"/>
    <xf numFmtId="43" fontId="0" fillId="0" borderId="0" applyFont="0" applyFill="0" applyBorder="0" applyAlignment="0" applyProtection="0"/>
    <xf numFmtId="0" fontId="19" fillId="30" borderId="0" applyNumberFormat="0" applyBorder="0" applyAlignment="0" applyProtection="0">
      <alignment vertical="center"/>
    </xf>
    <xf numFmtId="0" fontId="12" fillId="27" borderId="0" applyNumberFormat="0" applyBorder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0" fontId="30" fillId="29" borderId="8" applyNumberFormat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0" fontId="12" fillId="22" borderId="0" applyNumberFormat="0" applyBorder="0" applyAlignment="0" applyProtection="0">
      <alignment vertical="center"/>
    </xf>
    <xf numFmtId="44" fontId="14" fillId="0" borderId="0" applyFont="0" applyFill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9" fontId="14" fillId="0" borderId="0" applyFont="0" applyFill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19" fillId="33" borderId="0" applyNumberFormat="0" applyBorder="0" applyAlignment="0" applyProtection="0">
      <alignment vertical="center"/>
    </xf>
    <xf numFmtId="0" fontId="28" fillId="10" borderId="8" applyNumberFormat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12" fillId="32" borderId="0" applyNumberFormat="0" applyBorder="0" applyAlignment="0" applyProtection="0">
      <alignment vertical="center"/>
    </xf>
    <xf numFmtId="0" fontId="29" fillId="0" borderId="9" applyNumberFormat="0" applyFill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2" fillId="11" borderId="7" applyNumberFormat="0" applyAlignment="0" applyProtection="0">
      <alignment vertical="center"/>
    </xf>
    <xf numFmtId="0" fontId="21" fillId="10" borderId="6" applyNumberFormat="0" applyAlignment="0" applyProtection="0">
      <alignment vertical="center"/>
    </xf>
    <xf numFmtId="0" fontId="26" fillId="0" borderId="3" applyNumberFormat="0" applyFill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12" fillId="31" borderId="0" applyNumberFormat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42" fontId="14" fillId="0" borderId="0" applyFont="0" applyFill="0" applyBorder="0" applyAlignment="0" applyProtection="0">
      <alignment vertical="center"/>
    </xf>
    <xf numFmtId="0" fontId="12" fillId="20" borderId="0" applyNumberFormat="0" applyBorder="0" applyAlignment="0" applyProtection="0">
      <alignment vertical="center"/>
    </xf>
    <xf numFmtId="43" fontId="14" fillId="0" borderId="0" applyFon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14" fillId="5" borderId="4" applyNumberFormat="0" applyFont="0" applyAlignment="0" applyProtection="0">
      <alignment vertical="center"/>
    </xf>
    <xf numFmtId="0" fontId="12" fillId="6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12" fillId="23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41" fontId="14" fillId="0" borderId="0" applyFont="0" applyFill="0" applyBorder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2" fillId="4" borderId="0" applyNumberFormat="0" applyBorder="0" applyAlignment="0" applyProtection="0">
      <alignment vertical="center"/>
    </xf>
    <xf numFmtId="0" fontId="18" fillId="0" borderId="5" applyNumberFormat="0" applyFill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0" fontId="11" fillId="0" borderId="2" applyNumberFormat="0" applyFill="0" applyAlignment="0" applyProtection="0">
      <alignment vertical="center"/>
    </xf>
  </cellStyleXfs>
  <cellXfs count="32">
    <xf numFmtId="0" fontId="0" fillId="0" borderId="0" xfId="2"/>
    <xf numFmtId="0" fontId="0" fillId="0" borderId="0" xfId="2" applyFont="1" applyAlignment="1" applyProtection="1">
      <alignment horizontal="center" vertical="center" wrapText="1"/>
    </xf>
    <xf numFmtId="0" fontId="1" fillId="0" borderId="0" xfId="2" applyFont="1" applyAlignment="1" applyProtection="1">
      <alignment horizontal="center" vertical="center" wrapText="1"/>
    </xf>
    <xf numFmtId="0" fontId="0" fillId="0" borderId="0" xfId="2" applyFont="1" applyFill="1" applyAlignment="1" applyProtection="1">
      <alignment horizontal="center" vertical="center" wrapText="1"/>
    </xf>
    <xf numFmtId="0" fontId="2" fillId="0" borderId="0" xfId="2" applyFont="1" applyFill="1" applyAlignment="1" applyProtection="1">
      <alignment horizontal="center" vertical="center" wrapText="1"/>
    </xf>
    <xf numFmtId="195" fontId="0" fillId="0" borderId="0" xfId="2" applyNumberFormat="1" applyFont="1" applyAlignment="1" applyProtection="1">
      <alignment horizontal="center" vertical="center" wrapText="1"/>
    </xf>
    <xf numFmtId="49" fontId="0" fillId="0" borderId="0" xfId="2" applyNumberFormat="1" applyFont="1" applyAlignment="1" applyProtection="1">
      <alignment horizontal="center" vertical="center" wrapText="1"/>
    </xf>
    <xf numFmtId="193" fontId="0" fillId="0" borderId="0" xfId="2" applyNumberFormat="1" applyFont="1" applyAlignment="1" applyProtection="1">
      <alignment horizontal="center" vertical="center" wrapText="1"/>
    </xf>
    <xf numFmtId="0" fontId="3" fillId="0" borderId="0" xfId="2" applyFont="1" applyAlignment="1" applyProtection="1">
      <alignment horizontal="left" vertical="center" wrapText="1"/>
    </xf>
    <xf numFmtId="0" fontId="4" fillId="2" borderId="0" xfId="2" applyFont="1" applyFill="1" applyAlignment="1" applyProtection="1">
      <alignment horizontal="center" vertical="center" wrapText="1"/>
    </xf>
    <xf numFmtId="0" fontId="5" fillId="2" borderId="0" xfId="2" applyFont="1" applyFill="1" applyAlignment="1" applyProtection="1">
      <alignment horizontal="center" vertical="center" wrapText="1"/>
    </xf>
    <xf numFmtId="0" fontId="6" fillId="2" borderId="1" xfId="2" applyFont="1" applyFill="1" applyBorder="1" applyAlignment="1" applyProtection="1">
      <alignment horizontal="center" vertical="center" wrapText="1"/>
    </xf>
    <xf numFmtId="0" fontId="7" fillId="2" borderId="1" xfId="2" applyFont="1" applyFill="1" applyBorder="1" applyAlignment="1" applyProtection="1">
      <alignment horizontal="center" vertical="center" wrapText="1"/>
    </xf>
    <xf numFmtId="0" fontId="7" fillId="2" borderId="1" xfId="0" applyFont="1" applyFill="1" applyBorder="1" applyAlignment="1" applyProtection="1">
      <alignment horizontal="center" vertical="center" wrapText="1"/>
    </xf>
    <xf numFmtId="0" fontId="7" fillId="2" borderId="1" xfId="0" applyFont="1" applyFill="1" applyBorder="1" applyAlignment="1">
      <alignment horizontal="center" vertical="center" wrapText="1"/>
    </xf>
    <xf numFmtId="195" fontId="5" fillId="2" borderId="0" xfId="2" applyNumberFormat="1" applyFont="1" applyFill="1" applyAlignment="1" applyProtection="1">
      <alignment horizontal="center" vertical="center" wrapText="1"/>
    </xf>
    <xf numFmtId="49" fontId="5" fillId="2" borderId="0" xfId="2" applyNumberFormat="1" applyFont="1" applyFill="1" applyAlignment="1" applyProtection="1">
      <alignment horizontal="center" vertical="center" wrapText="1"/>
    </xf>
    <xf numFmtId="195" fontId="6" fillId="2" borderId="1" xfId="2" applyNumberFormat="1" applyFont="1" applyFill="1" applyBorder="1" applyAlignment="1" applyProtection="1">
      <alignment horizontal="center" vertical="center" wrapText="1"/>
    </xf>
    <xf numFmtId="49" fontId="6" fillId="2" borderId="1" xfId="2" applyNumberFormat="1" applyFont="1" applyFill="1" applyBorder="1" applyAlignment="1" applyProtection="1">
      <alignment horizontal="center" vertical="center" wrapText="1"/>
    </xf>
    <xf numFmtId="195" fontId="7" fillId="2" borderId="1" xfId="0" applyNumberFormat="1" applyFont="1" applyFill="1" applyBorder="1" applyAlignment="1" applyProtection="1">
      <alignment horizontal="center" vertical="center" wrapText="1"/>
    </xf>
    <xf numFmtId="49" fontId="7" fillId="2" borderId="1" xfId="0" applyNumberFormat="1" applyFont="1" applyFill="1" applyBorder="1" applyAlignment="1" applyProtection="1">
      <alignment horizontal="center" vertical="center" wrapText="1"/>
    </xf>
    <xf numFmtId="193" fontId="5" fillId="2" borderId="0" xfId="2" applyNumberFormat="1" applyFont="1" applyFill="1" applyAlignment="1" applyProtection="1">
      <alignment horizontal="center" vertical="center" wrapText="1"/>
    </xf>
    <xf numFmtId="193" fontId="6" fillId="2" borderId="1" xfId="2" applyNumberFormat="1" applyFont="1" applyFill="1" applyBorder="1" applyAlignment="1" applyProtection="1">
      <alignment horizontal="center" vertical="center" wrapText="1"/>
    </xf>
    <xf numFmtId="193" fontId="7" fillId="2" borderId="1" xfId="2" applyNumberFormat="1" applyFont="1" applyFill="1" applyBorder="1" applyAlignment="1" applyProtection="1">
      <alignment horizontal="center" vertical="center" wrapText="1"/>
    </xf>
    <xf numFmtId="0" fontId="8" fillId="2" borderId="1" xfId="2" applyFont="1" applyFill="1" applyBorder="1" applyAlignment="1" applyProtection="1">
      <alignment horizontal="center" vertical="center" wrapText="1"/>
    </xf>
    <xf numFmtId="0" fontId="9" fillId="2" borderId="1" xfId="0" applyFont="1" applyFill="1" applyBorder="1" applyAlignment="1" applyProtection="1">
      <alignment horizontal="center" vertical="center" wrapText="1"/>
    </xf>
    <xf numFmtId="0" fontId="9" fillId="2" borderId="1" xfId="2" applyFont="1" applyFill="1" applyBorder="1" applyAlignment="1" applyProtection="1">
      <alignment horizontal="center" vertical="center" wrapText="1"/>
    </xf>
    <xf numFmtId="195" fontId="9" fillId="2" borderId="1" xfId="0" applyNumberFormat="1" applyFont="1" applyFill="1" applyBorder="1" applyAlignment="1" applyProtection="1">
      <alignment horizontal="center" vertical="center" wrapText="1"/>
    </xf>
    <xf numFmtId="49" fontId="9" fillId="2" borderId="1" xfId="0" applyNumberFormat="1" applyFont="1" applyFill="1" applyBorder="1" applyAlignment="1" applyProtection="1">
      <alignment horizontal="center" vertical="center" wrapText="1"/>
    </xf>
    <xf numFmtId="0" fontId="9" fillId="2" borderId="1" xfId="0" applyFont="1" applyFill="1" applyBorder="1" applyAlignment="1">
      <alignment horizontal="center" vertical="center" wrapText="1"/>
    </xf>
    <xf numFmtId="193" fontId="9" fillId="2" borderId="1" xfId="2" applyNumberFormat="1" applyFont="1" applyFill="1" applyBorder="1" applyAlignment="1" applyProtection="1">
      <alignment horizontal="center" vertical="center" wrapText="1"/>
    </xf>
    <xf numFmtId="0" fontId="10" fillId="2" borderId="1" xfId="2" applyFont="1" applyFill="1" applyBorder="1" applyAlignment="1" applyProtection="1">
      <alignment horizontal="center" vertical="center" wrapText="1"/>
    </xf>
    <xf numFmtId="0" fontId="9" fillId="2" borderId="1" xfId="0" applyFont="1" applyFill="1" applyBorder="1" applyAlignment="1" applyProtection="1" quotePrefix="1">
      <alignment horizontal="center" vertical="center" wrapText="1"/>
    </xf>
  </cellXfs>
  <cellStyles count="55">
    <cellStyle name="常规" xfId="0" builtinId="0"/>
    <cellStyle name="Currency" xfId="1"/>
    <cellStyle name="Normal" xfId="2"/>
    <cellStyle name="Percent" xfId="3"/>
    <cellStyle name="Comma [0]" xfId="4"/>
    <cellStyle name="Currency [0]" xfId="5"/>
    <cellStyle name="Comma" xfId="6"/>
    <cellStyle name="60% - 强调文字颜色 6" xfId="7" builtinId="52"/>
    <cellStyle name="20% - 强调文字颜色 4" xfId="8" builtinId="42"/>
    <cellStyle name="强调文字颜色 4" xfId="9" builtinId="41"/>
    <cellStyle name="输入" xfId="10" builtinId="20"/>
    <cellStyle name="40% - 强调文字颜色 3" xfId="11" builtinId="39"/>
    <cellStyle name="20% - 强调文字颜色 3" xfId="12" builtinId="38"/>
    <cellStyle name="货币" xfId="13" builtinId="4"/>
    <cellStyle name="强调文字颜色 3" xfId="14" builtinId="37"/>
    <cellStyle name="百分比" xfId="15" builtinId="5"/>
    <cellStyle name="60% - 强调文字颜色 2" xfId="16" builtinId="36"/>
    <cellStyle name="60% - 强调文字颜色 5" xfId="17" builtinId="48"/>
    <cellStyle name="强调文字颜色 2" xfId="18" builtinId="33"/>
    <cellStyle name="60% - 强调文字颜色 1" xfId="19" builtinId="32"/>
    <cellStyle name="60% - 强调文字颜色 4" xfId="20" builtinId="44"/>
    <cellStyle name="计算" xfId="21" builtinId="22"/>
    <cellStyle name="强调文字颜色 1" xfId="22" builtinId="29"/>
    <cellStyle name="适中" xfId="23" builtinId="28"/>
    <cellStyle name="20% - 强调文字颜色 5" xfId="24" builtinId="46"/>
    <cellStyle name="好" xfId="25" builtinId="26"/>
    <cellStyle name="20% - 强调文字颜色 1" xfId="26" builtinId="30"/>
    <cellStyle name="汇总" xfId="27" builtinId="25"/>
    <cellStyle name="差" xfId="28" builtinId="27"/>
    <cellStyle name="检查单元格" xfId="29" builtinId="23"/>
    <cellStyle name="输出" xfId="30" builtinId="21"/>
    <cellStyle name="标题 1" xfId="31" builtinId="16"/>
    <cellStyle name="解释性文本" xfId="32" builtinId="53"/>
    <cellStyle name="20% - 强调文字颜色 2" xfId="33" builtinId="34"/>
    <cellStyle name="标题 4" xfId="34" builtinId="19"/>
    <cellStyle name="货币[0]" xfId="35" builtinId="7"/>
    <cellStyle name="40% - 强调文字颜色 4" xfId="36" builtinId="43"/>
    <cellStyle name="千位分隔" xfId="37" builtinId="3"/>
    <cellStyle name="已访问的超链接" xfId="38" builtinId="9"/>
    <cellStyle name="标题" xfId="39" builtinId="15"/>
    <cellStyle name="40% - 强调文字颜色 2" xfId="40" builtinId="35"/>
    <cellStyle name="警告文本" xfId="41" builtinId="11"/>
    <cellStyle name="60% - 强调文字颜色 3" xfId="42" builtinId="40"/>
    <cellStyle name="注释" xfId="43" builtinId="10"/>
    <cellStyle name="20% - 强调文字颜色 6" xfId="44" builtinId="50"/>
    <cellStyle name="强调文字颜色 5" xfId="45" builtinId="45"/>
    <cellStyle name="40% - 强调文字颜色 6" xfId="46" builtinId="51"/>
    <cellStyle name="超链接" xfId="47" builtinId="8"/>
    <cellStyle name="千位分隔[0]" xfId="48" builtinId="6"/>
    <cellStyle name="标题 2" xfId="49" builtinId="17"/>
    <cellStyle name="40% - 强调文字颜色 5" xfId="50" builtinId="47"/>
    <cellStyle name="标题 3" xfId="51" builtinId="18"/>
    <cellStyle name="强调文字颜色 6" xfId="52" builtinId="49"/>
    <cellStyle name="40% - 强调文字颜色 1" xfId="53" builtinId="31"/>
    <cellStyle name="链接单元格" xfId="54" builtinId="24"/>
  </cellStyles>
  <dxfs count="18">
    <dxf>
      <font>
        <color rgb="FF9C0006"/>
      </font>
      <fill>
        <patternFill patternType="solid">
          <bgColor rgb="FFFFC7CE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>
      <tableStyleElement type="wholeTable" dxfId="7"/>
      <tableStyleElement type="headerRow" dxfId="6"/>
      <tableStyleElement type="totalRow" dxfId="5"/>
      <tableStyleElement type="firstColumn" dxfId="4"/>
      <tableStyleElement type="lastColumn" dxfId="3"/>
      <tableStyleElement type="firstRowStripe" dxfId="2"/>
      <tableStyleElement type="firstColumnStripe" dxfId="1"/>
    </tableStyle>
    <tableStyle name="PivotStylePreset2_Accent1" table="0" count="10">
      <tableStyleElement type="headerRow" dxfId="17"/>
      <tableStyleElement type="totalRow" dxfId="16"/>
      <tableStyleElement type="firstRowStripe" dxfId="15"/>
      <tableStyleElement type="firstColumnStripe" dxfId="14"/>
      <tableStyleElement type="firstSubtotalRow" dxfId="13"/>
      <tableStyleElement type="secondSubtotalRow" dxfId="12"/>
      <tableStyleElement type="firstRowSubheading" dxfId="11"/>
      <tableStyleElement type="secondRowSubheading" dxfId="10"/>
      <tableStyleElement type="pageFieldLabels" dxfId="9"/>
      <tableStyleElement type="pageFieldValues" dxfId="8"/>
    </tableStyle>
  </tableStyles>
  <colors>
    <mruColors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woinfos.xml><?xml version="1.0" encoding="utf-8"?>
<woInfos xmlns="https://web.wps.cn/et/2018/main" xmlns:s="http://schemas.openxmlformats.org/spreadsheetml/2006/main">
  <bookInfo cellCmpFml="174">
    <open main="126" threadCnt="1"/>
    <sheetInfos>
      <sheetInfo cellCmpFml="174" sheetStid="3">
        <open main="10" threadCnt="1"/>
      </sheetInfo>
    </sheetInfos>
  </bookInfo>
</woInfos>
</file>

<file path=xl/_rels/workbook.xml.rels><?xml version="1.0" encoding="UTF-8" standalone="yes"?>
<Relationships xmlns="http://schemas.openxmlformats.org/package/2006/relationships"><Relationship Id="rId8" Type="http://www.wps.cn/officeDocument/2023/relationships/woinfos" Target="woinfos.xml"/><Relationship Id="rId7" Type="http://schemas.openxmlformats.org/officeDocument/2006/relationships/styles" Target="styles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P74"/>
  <sheetViews>
    <sheetView tabSelected="1" topLeftCell="A64" workbookViewId="0">
      <selection activeCell="E6" sqref="E6"/>
    </sheetView>
  </sheetViews>
  <sheetFormatPr defaultColWidth="9" defaultRowHeight="12.75"/>
  <cols>
    <col min="1" max="1" width="6" style="1" customWidth="1"/>
    <col min="2" max="2" width="10.2857142857143" style="1" customWidth="1"/>
    <col min="3" max="3" width="31.1142857142857" style="1" customWidth="1"/>
    <col min="4" max="4" width="26.3333333333333" style="1" customWidth="1"/>
    <col min="5" max="5" width="22.447619047619" style="1" customWidth="1"/>
    <col min="6" max="6" width="14.552380952381" style="5" customWidth="1"/>
    <col min="7" max="7" width="6.71428571428571" style="6" customWidth="1"/>
    <col min="8" max="8" width="11.2857142857143" style="1" customWidth="1"/>
    <col min="9" max="10" width="8.14285714285714" style="1" customWidth="1"/>
    <col min="11" max="11" width="15.2857142857143" style="1" customWidth="1"/>
    <col min="12" max="12" width="9.57142857142857" style="7" customWidth="1"/>
    <col min="13" max="13" width="9.71428571428571" style="1" customWidth="1"/>
    <col min="14" max="14" width="9.57142857142857" style="1" customWidth="1"/>
    <col min="15" max="15" width="11.447619047619" style="1" customWidth="1"/>
    <col min="16" max="16" width="10.2857142857143" style="1" customWidth="1"/>
    <col min="17" max="16382" width="9" style="1"/>
  </cols>
  <sheetData>
    <row r="1" ht="15" customHeight="1" spans="1:2">
      <c r="A1" s="8" t="s">
        <v>0</v>
      </c>
      <c r="B1" s="8"/>
    </row>
    <row r="2" s="1" customFormat="1" ht="38" customHeight="1" spans="1:16">
      <c r="A2" s="9" t="s">
        <v>1</v>
      </c>
      <c r="B2" s="10"/>
      <c r="C2" s="10"/>
      <c r="D2" s="10"/>
      <c r="E2" s="10"/>
      <c r="F2" s="15"/>
      <c r="G2" s="16"/>
      <c r="H2" s="10"/>
      <c r="I2" s="10"/>
      <c r="J2" s="10"/>
      <c r="K2" s="10"/>
      <c r="L2" s="21"/>
      <c r="M2" s="10"/>
      <c r="N2" s="10"/>
      <c r="O2" s="10"/>
      <c r="P2" s="10"/>
    </row>
    <row r="3" s="2" customFormat="1" ht="41" customHeight="1" spans="1:16">
      <c r="A3" s="11" t="s">
        <v>2</v>
      </c>
      <c r="B3" s="11" t="s">
        <v>3</v>
      </c>
      <c r="C3" s="11" t="s">
        <v>4</v>
      </c>
      <c r="D3" s="11" t="s">
        <v>5</v>
      </c>
      <c r="E3" s="11" t="s">
        <v>6</v>
      </c>
      <c r="F3" s="17" t="s">
        <v>7</v>
      </c>
      <c r="G3" s="18" t="s">
        <v>8</v>
      </c>
      <c r="H3" s="11" t="s">
        <v>9</v>
      </c>
      <c r="I3" s="11" t="s">
        <v>10</v>
      </c>
      <c r="J3" s="11" t="s">
        <v>11</v>
      </c>
      <c r="K3" s="11" t="s">
        <v>12</v>
      </c>
      <c r="L3" s="22" t="s">
        <v>13</v>
      </c>
      <c r="M3" s="24" t="s">
        <v>14</v>
      </c>
      <c r="N3" s="24" t="s">
        <v>15</v>
      </c>
      <c r="O3" s="24" t="s">
        <v>16</v>
      </c>
      <c r="P3" s="24" t="s">
        <v>17</v>
      </c>
    </row>
    <row r="4" s="3" customFormat="1" ht="29" customHeight="1" spans="1:16">
      <c r="A4" s="12">
        <v>1</v>
      </c>
      <c r="B4" s="13" t="str">
        <f>"黄创慧"</f>
        <v>黄创慧</v>
      </c>
      <c r="C4" s="13" t="s">
        <v>18</v>
      </c>
      <c r="D4" s="13" t="s">
        <v>19</v>
      </c>
      <c r="E4" s="13" t="s">
        <v>20</v>
      </c>
      <c r="F4" s="19">
        <v>37885</v>
      </c>
      <c r="G4" s="20" t="s">
        <v>21</v>
      </c>
      <c r="H4" s="13" t="str">
        <f>"中共预备党员"</f>
        <v>中共预备党员</v>
      </c>
      <c r="I4" s="13" t="s">
        <v>22</v>
      </c>
      <c r="J4" s="13" t="s">
        <v>23</v>
      </c>
      <c r="K4" s="13" t="str">
        <f>"琼台师范学院"</f>
        <v>琼台师范学院</v>
      </c>
      <c r="L4" s="23">
        <v>71.58</v>
      </c>
      <c r="M4" s="12" t="s">
        <v>24</v>
      </c>
      <c r="N4" s="12" t="s">
        <v>24</v>
      </c>
      <c r="O4" s="12" t="s">
        <v>25</v>
      </c>
      <c r="P4" s="12"/>
    </row>
    <row r="5" s="3" customFormat="1" ht="29" customHeight="1" spans="1:16">
      <c r="A5" s="12">
        <v>2</v>
      </c>
      <c r="B5" s="13" t="str">
        <f>"吴琼妹"</f>
        <v>吴琼妹</v>
      </c>
      <c r="C5" s="13" t="s">
        <v>18</v>
      </c>
      <c r="D5" s="13" t="s">
        <v>19</v>
      </c>
      <c r="E5" s="13" t="s">
        <v>26</v>
      </c>
      <c r="F5" s="19">
        <v>33580</v>
      </c>
      <c r="G5" s="20" t="s">
        <v>21</v>
      </c>
      <c r="H5" s="13" t="str">
        <f>"中共党员"</f>
        <v>中共党员</v>
      </c>
      <c r="I5" s="13" t="s">
        <v>22</v>
      </c>
      <c r="J5" s="13" t="s">
        <v>23</v>
      </c>
      <c r="K5" s="13" t="str">
        <f>"沈阳大学"</f>
        <v>沈阳大学</v>
      </c>
      <c r="L5" s="23">
        <v>71.6</v>
      </c>
      <c r="M5" s="12" t="s">
        <v>24</v>
      </c>
      <c r="N5" s="12" t="s">
        <v>24</v>
      </c>
      <c r="O5" s="12" t="s">
        <v>25</v>
      </c>
      <c r="P5" s="12"/>
    </row>
    <row r="6" s="3" customFormat="1" ht="29" customHeight="1" spans="1:16">
      <c r="A6" s="12">
        <v>3</v>
      </c>
      <c r="B6" s="13" t="str">
        <f>"陈奎松"</f>
        <v>陈奎松</v>
      </c>
      <c r="C6" s="13" t="s">
        <v>27</v>
      </c>
      <c r="D6" s="13" t="s">
        <v>28</v>
      </c>
      <c r="E6" s="13" t="s">
        <v>29</v>
      </c>
      <c r="F6" s="19">
        <v>36982</v>
      </c>
      <c r="G6" s="20" t="s">
        <v>30</v>
      </c>
      <c r="H6" s="13" t="str">
        <f>"中共党员"</f>
        <v>中共党员</v>
      </c>
      <c r="I6" s="13" t="s">
        <v>22</v>
      </c>
      <c r="J6" s="13" t="s">
        <v>23</v>
      </c>
      <c r="K6" s="13" t="str">
        <f>"太原科技大学"</f>
        <v>太原科技大学</v>
      </c>
      <c r="L6" s="23">
        <v>71.74</v>
      </c>
      <c r="M6" s="12" t="s">
        <v>24</v>
      </c>
      <c r="N6" s="12" t="s">
        <v>24</v>
      </c>
      <c r="O6" s="12" t="s">
        <v>25</v>
      </c>
      <c r="P6" s="12"/>
    </row>
    <row r="7" s="3" customFormat="1" ht="29" customHeight="1" spans="1:16">
      <c r="A7" s="12">
        <v>4</v>
      </c>
      <c r="B7" s="13" t="str">
        <f>"蔡世睿"</f>
        <v>蔡世睿</v>
      </c>
      <c r="C7" s="13" t="s">
        <v>31</v>
      </c>
      <c r="D7" s="13" t="s">
        <v>32</v>
      </c>
      <c r="E7" s="13" t="s">
        <v>33</v>
      </c>
      <c r="F7" s="19">
        <v>37827</v>
      </c>
      <c r="G7" s="20" t="s">
        <v>30</v>
      </c>
      <c r="H7" s="13" t="str">
        <f t="shared" ref="H7:H9" si="0">"群众"</f>
        <v>群众</v>
      </c>
      <c r="I7" s="13" t="s">
        <v>22</v>
      </c>
      <c r="J7" s="13" t="s">
        <v>23</v>
      </c>
      <c r="K7" s="13" t="str">
        <f>"湖北经济学院"</f>
        <v>湖北经济学院</v>
      </c>
      <c r="L7" s="23">
        <v>72.3</v>
      </c>
      <c r="M7" s="12" t="s">
        <v>24</v>
      </c>
      <c r="N7" s="12" t="s">
        <v>24</v>
      </c>
      <c r="O7" s="12" t="s">
        <v>25</v>
      </c>
      <c r="P7" s="12"/>
    </row>
    <row r="8" s="1" customFormat="1" ht="29" customHeight="1" spans="1:16">
      <c r="A8" s="12">
        <v>5</v>
      </c>
      <c r="B8" s="13" t="str">
        <f>"曹鹏宇"</f>
        <v>曹鹏宇</v>
      </c>
      <c r="C8" s="13" t="s">
        <v>34</v>
      </c>
      <c r="D8" s="13" t="s">
        <v>35</v>
      </c>
      <c r="E8" s="13" t="s">
        <v>36</v>
      </c>
      <c r="F8" s="19">
        <v>34340</v>
      </c>
      <c r="G8" s="20" t="s">
        <v>30</v>
      </c>
      <c r="H8" s="13" t="str">
        <f t="shared" si="0"/>
        <v>群众</v>
      </c>
      <c r="I8" s="13" t="s">
        <v>22</v>
      </c>
      <c r="J8" s="13" t="s">
        <v>23</v>
      </c>
      <c r="K8" s="13" t="str">
        <f>"河北科技学院"</f>
        <v>河北科技学院</v>
      </c>
      <c r="L8" s="23">
        <v>70.88</v>
      </c>
      <c r="M8" s="12" t="s">
        <v>24</v>
      </c>
      <c r="N8" s="12" t="s">
        <v>24</v>
      </c>
      <c r="O8" s="12" t="s">
        <v>25</v>
      </c>
      <c r="P8" s="12"/>
    </row>
    <row r="9" s="1" customFormat="1" ht="29" customHeight="1" spans="1:16">
      <c r="A9" s="12">
        <v>6</v>
      </c>
      <c r="B9" s="13" t="str">
        <f>"邢辰烨"</f>
        <v>邢辰烨</v>
      </c>
      <c r="C9" s="13" t="s">
        <v>37</v>
      </c>
      <c r="D9" s="13" t="s">
        <v>38</v>
      </c>
      <c r="E9" s="13" t="s">
        <v>39</v>
      </c>
      <c r="F9" s="19">
        <v>34998</v>
      </c>
      <c r="G9" s="20" t="s">
        <v>30</v>
      </c>
      <c r="H9" s="13" t="str">
        <f t="shared" si="0"/>
        <v>群众</v>
      </c>
      <c r="I9" s="13" t="s">
        <v>22</v>
      </c>
      <c r="J9" s="13" t="s">
        <v>23</v>
      </c>
      <c r="K9" s="13" t="str">
        <f>"国家开放大学"</f>
        <v>国家开放大学</v>
      </c>
      <c r="L9" s="23">
        <v>74.28</v>
      </c>
      <c r="M9" s="12" t="s">
        <v>24</v>
      </c>
      <c r="N9" s="12" t="s">
        <v>24</v>
      </c>
      <c r="O9" s="12" t="s">
        <v>25</v>
      </c>
      <c r="P9" s="12"/>
    </row>
    <row r="10" s="1" customFormat="1" ht="29" customHeight="1" spans="1:16">
      <c r="A10" s="12">
        <v>7</v>
      </c>
      <c r="B10" s="13" t="str">
        <f>"陈春娥"</f>
        <v>陈春娥</v>
      </c>
      <c r="C10" s="13" t="s">
        <v>40</v>
      </c>
      <c r="D10" s="13" t="s">
        <v>41</v>
      </c>
      <c r="E10" s="13" t="s">
        <v>42</v>
      </c>
      <c r="F10" s="19">
        <v>36173</v>
      </c>
      <c r="G10" s="20" t="s">
        <v>21</v>
      </c>
      <c r="H10" s="13" t="str">
        <f>"共青团员"</f>
        <v>共青团员</v>
      </c>
      <c r="I10" s="13" t="s">
        <v>22</v>
      </c>
      <c r="J10" s="13" t="s">
        <v>23</v>
      </c>
      <c r="K10" s="13" t="str">
        <f>"淮北师范大学信息学院"</f>
        <v>淮北师范大学信息学院</v>
      </c>
      <c r="L10" s="23">
        <v>79.2</v>
      </c>
      <c r="M10" s="12" t="s">
        <v>24</v>
      </c>
      <c r="N10" s="12" t="s">
        <v>24</v>
      </c>
      <c r="O10" s="12" t="s">
        <v>25</v>
      </c>
      <c r="P10" s="12"/>
    </row>
    <row r="11" s="1" customFormat="1" ht="29" customHeight="1" spans="1:16">
      <c r="A11" s="12">
        <v>8</v>
      </c>
      <c r="B11" s="13" t="str">
        <f>"黄洁"</f>
        <v>黄洁</v>
      </c>
      <c r="C11" s="13" t="s">
        <v>40</v>
      </c>
      <c r="D11" s="13" t="s">
        <v>41</v>
      </c>
      <c r="E11" s="13" t="s">
        <v>43</v>
      </c>
      <c r="F11" s="19">
        <v>35772</v>
      </c>
      <c r="G11" s="20" t="s">
        <v>21</v>
      </c>
      <c r="H11" s="13" t="str">
        <f t="shared" ref="H11:H14" si="1">"群众"</f>
        <v>群众</v>
      </c>
      <c r="I11" s="13" t="s">
        <v>22</v>
      </c>
      <c r="J11" s="13" t="s">
        <v>23</v>
      </c>
      <c r="K11" s="13" t="str">
        <f>"海南热带海洋学院"</f>
        <v>海南热带海洋学院</v>
      </c>
      <c r="L11" s="23">
        <v>73.72</v>
      </c>
      <c r="M11" s="12" t="s">
        <v>24</v>
      </c>
      <c r="N11" s="12" t="s">
        <v>24</v>
      </c>
      <c r="O11" s="12" t="s">
        <v>25</v>
      </c>
      <c r="P11" s="12"/>
    </row>
    <row r="12" s="1" customFormat="1" ht="29" customHeight="1" spans="1:16">
      <c r="A12" s="12">
        <v>9</v>
      </c>
      <c r="B12" s="13" t="str">
        <f>"苏馨"</f>
        <v>苏馨</v>
      </c>
      <c r="C12" s="13" t="s">
        <v>40</v>
      </c>
      <c r="D12" s="13" t="s">
        <v>44</v>
      </c>
      <c r="E12" s="13" t="s">
        <v>45</v>
      </c>
      <c r="F12" s="19">
        <v>33291</v>
      </c>
      <c r="G12" s="20" t="s">
        <v>21</v>
      </c>
      <c r="H12" s="13" t="str">
        <f t="shared" si="1"/>
        <v>群众</v>
      </c>
      <c r="I12" s="13" t="s">
        <v>22</v>
      </c>
      <c r="J12" s="13" t="s">
        <v>23</v>
      </c>
      <c r="K12" s="13" t="str">
        <f>"延边大学"</f>
        <v>延边大学</v>
      </c>
      <c r="L12" s="23">
        <v>86.72</v>
      </c>
      <c r="M12" s="12" t="s">
        <v>24</v>
      </c>
      <c r="N12" s="12" t="s">
        <v>24</v>
      </c>
      <c r="O12" s="12" t="s">
        <v>25</v>
      </c>
      <c r="P12" s="12"/>
    </row>
    <row r="13" s="1" customFormat="1" ht="29" customHeight="1" spans="1:16">
      <c r="A13" s="12">
        <v>10</v>
      </c>
      <c r="B13" s="13" t="str">
        <f>"黄子虹"</f>
        <v>黄子虹</v>
      </c>
      <c r="C13" s="13" t="s">
        <v>40</v>
      </c>
      <c r="D13" s="13" t="s">
        <v>46</v>
      </c>
      <c r="E13" s="13" t="s">
        <v>47</v>
      </c>
      <c r="F13" s="19">
        <v>35170</v>
      </c>
      <c r="G13" s="20" t="s">
        <v>21</v>
      </c>
      <c r="H13" s="13" t="str">
        <f t="shared" si="1"/>
        <v>群众</v>
      </c>
      <c r="I13" s="13" t="s">
        <v>22</v>
      </c>
      <c r="J13" s="13" t="s">
        <v>23</v>
      </c>
      <c r="K13" s="13" t="str">
        <f>"江西师范大学"</f>
        <v>江西师范大学</v>
      </c>
      <c r="L13" s="23">
        <v>74.68</v>
      </c>
      <c r="M13" s="12" t="s">
        <v>24</v>
      </c>
      <c r="N13" s="12" t="s">
        <v>24</v>
      </c>
      <c r="O13" s="12" t="s">
        <v>25</v>
      </c>
      <c r="P13" s="12"/>
    </row>
    <row r="14" s="1" customFormat="1" ht="29" customHeight="1" spans="1:16">
      <c r="A14" s="12">
        <v>11</v>
      </c>
      <c r="B14" s="13" t="str">
        <f>"刘栋占"</f>
        <v>刘栋占</v>
      </c>
      <c r="C14" s="13" t="s">
        <v>40</v>
      </c>
      <c r="D14" s="13" t="s">
        <v>48</v>
      </c>
      <c r="E14" s="13" t="s">
        <v>49</v>
      </c>
      <c r="F14" s="19">
        <v>28791</v>
      </c>
      <c r="G14" s="20" t="s">
        <v>30</v>
      </c>
      <c r="H14" s="13" t="str">
        <f t="shared" si="1"/>
        <v>群众</v>
      </c>
      <c r="I14" s="13" t="s">
        <v>22</v>
      </c>
      <c r="J14" s="13" t="s">
        <v>23</v>
      </c>
      <c r="K14" s="13" t="str">
        <f>"河南师范大学"</f>
        <v>河南师范大学</v>
      </c>
      <c r="L14" s="23">
        <v>78.04</v>
      </c>
      <c r="M14" s="12" t="s">
        <v>24</v>
      </c>
      <c r="N14" s="12" t="s">
        <v>24</v>
      </c>
      <c r="O14" s="12" t="s">
        <v>25</v>
      </c>
      <c r="P14" s="12"/>
    </row>
    <row r="15" s="1" customFormat="1" ht="29" customHeight="1" spans="1:16">
      <c r="A15" s="12">
        <v>12</v>
      </c>
      <c r="B15" s="13" t="str">
        <f>"黄佩莹"</f>
        <v>黄佩莹</v>
      </c>
      <c r="C15" s="13" t="s">
        <v>40</v>
      </c>
      <c r="D15" s="13" t="s">
        <v>50</v>
      </c>
      <c r="E15" s="13" t="s">
        <v>51</v>
      </c>
      <c r="F15" s="19">
        <v>33722</v>
      </c>
      <c r="G15" s="20" t="s">
        <v>21</v>
      </c>
      <c r="H15" s="13" t="str">
        <f>"中共党员"</f>
        <v>中共党员</v>
      </c>
      <c r="I15" s="13" t="s">
        <v>22</v>
      </c>
      <c r="J15" s="13" t="s">
        <v>23</v>
      </c>
      <c r="K15" s="13" t="str">
        <f>"海南师范大学"</f>
        <v>海南师范大学</v>
      </c>
      <c r="L15" s="23">
        <v>85.54</v>
      </c>
      <c r="M15" s="12" t="s">
        <v>24</v>
      </c>
      <c r="N15" s="12" t="s">
        <v>24</v>
      </c>
      <c r="O15" s="12" t="s">
        <v>25</v>
      </c>
      <c r="P15" s="12"/>
    </row>
    <row r="16" s="1" customFormat="1" ht="29" customHeight="1" spans="1:16">
      <c r="A16" s="12">
        <v>13</v>
      </c>
      <c r="B16" s="13" t="str">
        <f>"周立欣"</f>
        <v>周立欣</v>
      </c>
      <c r="C16" s="13" t="s">
        <v>40</v>
      </c>
      <c r="D16" s="13" t="s">
        <v>52</v>
      </c>
      <c r="E16" s="13" t="s">
        <v>53</v>
      </c>
      <c r="F16" s="19">
        <v>34275</v>
      </c>
      <c r="G16" s="20" t="s">
        <v>21</v>
      </c>
      <c r="H16" s="13" t="str">
        <f t="shared" ref="H16:H18" si="2">"群众"</f>
        <v>群众</v>
      </c>
      <c r="I16" s="13" t="s">
        <v>22</v>
      </c>
      <c r="J16" s="13" t="s">
        <v>23</v>
      </c>
      <c r="K16" s="13" t="str">
        <f>"海南师范大学"</f>
        <v>海南师范大学</v>
      </c>
      <c r="L16" s="23">
        <v>90.32</v>
      </c>
      <c r="M16" s="12" t="s">
        <v>24</v>
      </c>
      <c r="N16" s="12" t="s">
        <v>24</v>
      </c>
      <c r="O16" s="12" t="s">
        <v>25</v>
      </c>
      <c r="P16" s="12"/>
    </row>
    <row r="17" s="1" customFormat="1" ht="29" customHeight="1" spans="1:16">
      <c r="A17" s="12">
        <v>14</v>
      </c>
      <c r="B17" s="14" t="str">
        <f>"符雅雲"</f>
        <v>符雅雲</v>
      </c>
      <c r="C17" s="13" t="s">
        <v>40</v>
      </c>
      <c r="D17" s="13" t="s">
        <v>54</v>
      </c>
      <c r="E17" s="13" t="s">
        <v>55</v>
      </c>
      <c r="F17" s="19">
        <v>35252</v>
      </c>
      <c r="G17" s="20" t="s">
        <v>21</v>
      </c>
      <c r="H17" s="13" t="str">
        <f t="shared" si="2"/>
        <v>群众</v>
      </c>
      <c r="I17" s="13" t="s">
        <v>22</v>
      </c>
      <c r="J17" s="13" t="s">
        <v>23</v>
      </c>
      <c r="K17" s="14" t="str">
        <f>"忻州师范学院"</f>
        <v>忻州师范学院</v>
      </c>
      <c r="L17" s="23">
        <v>69.52</v>
      </c>
      <c r="M17" s="12" t="s">
        <v>24</v>
      </c>
      <c r="N17" s="12" t="s">
        <v>24</v>
      </c>
      <c r="O17" s="12" t="s">
        <v>25</v>
      </c>
      <c r="P17" s="12"/>
    </row>
    <row r="18" s="1" customFormat="1" ht="29" customHeight="1" spans="1:16">
      <c r="A18" s="12">
        <v>15</v>
      </c>
      <c r="B18" s="13" t="str">
        <f>"钟燕含"</f>
        <v>钟燕含</v>
      </c>
      <c r="C18" s="13" t="s">
        <v>40</v>
      </c>
      <c r="D18" s="13" t="s">
        <v>56</v>
      </c>
      <c r="E18" s="13" t="s">
        <v>57</v>
      </c>
      <c r="F18" s="19">
        <v>35712</v>
      </c>
      <c r="G18" s="20" t="s">
        <v>21</v>
      </c>
      <c r="H18" s="13" t="str">
        <f t="shared" si="2"/>
        <v>群众</v>
      </c>
      <c r="I18" s="13" t="s">
        <v>58</v>
      </c>
      <c r="J18" s="13" t="s">
        <v>59</v>
      </c>
      <c r="K18" s="13" t="str">
        <f>"马来西亚世纪大学"</f>
        <v>马来西亚世纪大学</v>
      </c>
      <c r="L18" s="23">
        <v>80.16</v>
      </c>
      <c r="M18" s="12" t="s">
        <v>24</v>
      </c>
      <c r="N18" s="12" t="s">
        <v>24</v>
      </c>
      <c r="O18" s="12" t="s">
        <v>25</v>
      </c>
      <c r="P18" s="12"/>
    </row>
    <row r="19" s="1" customFormat="1" ht="29" customHeight="1" spans="1:16">
      <c r="A19" s="12">
        <v>16</v>
      </c>
      <c r="B19" s="13" t="str">
        <f>"黄娟"</f>
        <v>黄娟</v>
      </c>
      <c r="C19" s="13" t="s">
        <v>40</v>
      </c>
      <c r="D19" s="13" t="s">
        <v>60</v>
      </c>
      <c r="E19" s="13" t="s">
        <v>61</v>
      </c>
      <c r="F19" s="19">
        <v>33095</v>
      </c>
      <c r="G19" s="20" t="s">
        <v>21</v>
      </c>
      <c r="H19" s="13" t="str">
        <f>"中共党员"</f>
        <v>中共党员</v>
      </c>
      <c r="I19" s="13" t="s">
        <v>22</v>
      </c>
      <c r="J19" s="13" t="s">
        <v>23</v>
      </c>
      <c r="K19" s="13" t="str">
        <f>"赣南师范学院"</f>
        <v>赣南师范学院</v>
      </c>
      <c r="L19" s="23">
        <v>80.72</v>
      </c>
      <c r="M19" s="12" t="s">
        <v>24</v>
      </c>
      <c r="N19" s="12" t="s">
        <v>24</v>
      </c>
      <c r="O19" s="12" t="s">
        <v>25</v>
      </c>
      <c r="P19" s="12"/>
    </row>
    <row r="20" s="1" customFormat="1" ht="29" customHeight="1" spans="1:16">
      <c r="A20" s="12">
        <v>17</v>
      </c>
      <c r="B20" s="13" t="str">
        <f>"陈晓茜"</f>
        <v>陈晓茜</v>
      </c>
      <c r="C20" s="13" t="s">
        <v>40</v>
      </c>
      <c r="D20" s="13" t="s">
        <v>62</v>
      </c>
      <c r="E20" s="13" t="s">
        <v>63</v>
      </c>
      <c r="F20" s="19">
        <v>37918</v>
      </c>
      <c r="G20" s="20" t="s">
        <v>21</v>
      </c>
      <c r="H20" s="13" t="str">
        <f t="shared" ref="H20:H22" si="3">"群众"</f>
        <v>群众</v>
      </c>
      <c r="I20" s="13" t="s">
        <v>22</v>
      </c>
      <c r="J20" s="13" t="s">
        <v>23</v>
      </c>
      <c r="K20" s="13" t="str">
        <f>"宜春学院"</f>
        <v>宜春学院</v>
      </c>
      <c r="L20" s="23">
        <v>82.62</v>
      </c>
      <c r="M20" s="12" t="s">
        <v>24</v>
      </c>
      <c r="N20" s="12" t="s">
        <v>24</v>
      </c>
      <c r="O20" s="12" t="s">
        <v>25</v>
      </c>
      <c r="P20" s="12"/>
    </row>
    <row r="21" s="1" customFormat="1" ht="29" customHeight="1" spans="1:16">
      <c r="A21" s="12">
        <v>18</v>
      </c>
      <c r="B21" s="13" t="str">
        <f>"陈彩玉"</f>
        <v>陈彩玉</v>
      </c>
      <c r="C21" s="13" t="s">
        <v>40</v>
      </c>
      <c r="D21" s="13" t="s">
        <v>64</v>
      </c>
      <c r="E21" s="13" t="s">
        <v>65</v>
      </c>
      <c r="F21" s="19">
        <v>33439</v>
      </c>
      <c r="G21" s="20" t="s">
        <v>21</v>
      </c>
      <c r="H21" s="13" t="str">
        <f t="shared" si="3"/>
        <v>群众</v>
      </c>
      <c r="I21" s="13" t="s">
        <v>22</v>
      </c>
      <c r="J21" s="13" t="s">
        <v>23</v>
      </c>
      <c r="K21" s="13" t="str">
        <f>"海南热带海洋学院"</f>
        <v>海南热带海洋学院</v>
      </c>
      <c r="L21" s="23">
        <v>85.2</v>
      </c>
      <c r="M21" s="12" t="s">
        <v>24</v>
      </c>
      <c r="N21" s="12" t="s">
        <v>24</v>
      </c>
      <c r="O21" s="12" t="s">
        <v>25</v>
      </c>
      <c r="P21" s="12"/>
    </row>
    <row r="22" s="1" customFormat="1" ht="29" customHeight="1" spans="1:16">
      <c r="A22" s="12">
        <v>19</v>
      </c>
      <c r="B22" s="13" t="str">
        <f>"王光绣"</f>
        <v>王光绣</v>
      </c>
      <c r="C22" s="13" t="s">
        <v>66</v>
      </c>
      <c r="D22" s="13" t="s">
        <v>67</v>
      </c>
      <c r="E22" s="13" t="s">
        <v>68</v>
      </c>
      <c r="F22" s="19">
        <v>33793</v>
      </c>
      <c r="G22" s="20" t="s">
        <v>30</v>
      </c>
      <c r="H22" s="13" t="str">
        <f t="shared" si="3"/>
        <v>群众</v>
      </c>
      <c r="I22" s="13" t="s">
        <v>22</v>
      </c>
      <c r="J22" s="13" t="s">
        <v>23</v>
      </c>
      <c r="K22" s="13" t="str">
        <f>"成都理工大学"</f>
        <v>成都理工大学</v>
      </c>
      <c r="L22" s="23">
        <v>78.22</v>
      </c>
      <c r="M22" s="12" t="s">
        <v>24</v>
      </c>
      <c r="N22" s="12" t="s">
        <v>24</v>
      </c>
      <c r="O22" s="12" t="s">
        <v>25</v>
      </c>
      <c r="P22" s="12"/>
    </row>
    <row r="23" s="1" customFormat="1" ht="29" customHeight="1" spans="1:16">
      <c r="A23" s="12">
        <v>20</v>
      </c>
      <c r="B23" s="13" t="str">
        <f>"林小曼"</f>
        <v>林小曼</v>
      </c>
      <c r="C23" s="13" t="s">
        <v>66</v>
      </c>
      <c r="D23" s="13" t="s">
        <v>67</v>
      </c>
      <c r="E23" s="13" t="s">
        <v>69</v>
      </c>
      <c r="F23" s="19">
        <v>37207</v>
      </c>
      <c r="G23" s="20" t="s">
        <v>21</v>
      </c>
      <c r="H23" s="13" t="str">
        <f>"中共预备党员"</f>
        <v>中共预备党员</v>
      </c>
      <c r="I23" s="13" t="s">
        <v>22</v>
      </c>
      <c r="J23" s="13" t="s">
        <v>23</v>
      </c>
      <c r="K23" s="13" t="str">
        <f>"山西大同大学"</f>
        <v>山西大同大学</v>
      </c>
      <c r="L23" s="23">
        <v>76.18</v>
      </c>
      <c r="M23" s="12" t="s">
        <v>24</v>
      </c>
      <c r="N23" s="12" t="s">
        <v>24</v>
      </c>
      <c r="O23" s="12" t="s">
        <v>25</v>
      </c>
      <c r="P23" s="12"/>
    </row>
    <row r="24" s="1" customFormat="1" ht="29" customHeight="1" spans="1:16">
      <c r="A24" s="12">
        <v>21</v>
      </c>
      <c r="B24" s="13" t="str">
        <f>"俄世奉"</f>
        <v>俄世奉</v>
      </c>
      <c r="C24" s="13" t="s">
        <v>66</v>
      </c>
      <c r="D24" s="13" t="s">
        <v>67</v>
      </c>
      <c r="E24" s="13" t="s">
        <v>70</v>
      </c>
      <c r="F24" s="19">
        <v>36611</v>
      </c>
      <c r="G24" s="20" t="s">
        <v>21</v>
      </c>
      <c r="H24" s="13" t="str">
        <f>"共青团员"</f>
        <v>共青团员</v>
      </c>
      <c r="I24" s="13" t="s">
        <v>58</v>
      </c>
      <c r="J24" s="13" t="s">
        <v>59</v>
      </c>
      <c r="K24" s="13" t="str">
        <f>"辽宁师范大学"</f>
        <v>辽宁师范大学</v>
      </c>
      <c r="L24" s="23">
        <v>77.76</v>
      </c>
      <c r="M24" s="12" t="s">
        <v>24</v>
      </c>
      <c r="N24" s="12" t="s">
        <v>24</v>
      </c>
      <c r="O24" s="12" t="s">
        <v>25</v>
      </c>
      <c r="P24" s="12"/>
    </row>
    <row r="25" s="1" customFormat="1" ht="29" customHeight="1" spans="1:16">
      <c r="A25" s="12">
        <v>22</v>
      </c>
      <c r="B25" s="13" t="str">
        <f>"王兆仪"</f>
        <v>王兆仪</v>
      </c>
      <c r="C25" s="13" t="s">
        <v>66</v>
      </c>
      <c r="D25" s="13" t="s">
        <v>67</v>
      </c>
      <c r="E25" s="13" t="s">
        <v>71</v>
      </c>
      <c r="F25" s="19">
        <v>37526</v>
      </c>
      <c r="G25" s="20" t="s">
        <v>21</v>
      </c>
      <c r="H25" s="13" t="str">
        <f>"共青团员"</f>
        <v>共青团员</v>
      </c>
      <c r="I25" s="13" t="s">
        <v>22</v>
      </c>
      <c r="J25" s="13" t="s">
        <v>23</v>
      </c>
      <c r="K25" s="13" t="str">
        <f>"海南热带海洋学院"</f>
        <v>海南热带海洋学院</v>
      </c>
      <c r="L25" s="23">
        <v>76.1</v>
      </c>
      <c r="M25" s="12" t="s">
        <v>24</v>
      </c>
      <c r="N25" s="12" t="s">
        <v>24</v>
      </c>
      <c r="O25" s="12" t="s">
        <v>25</v>
      </c>
      <c r="P25" s="12"/>
    </row>
    <row r="26" s="1" customFormat="1" ht="29" customHeight="1" spans="1:16">
      <c r="A26" s="12">
        <v>23</v>
      </c>
      <c r="B26" s="13" t="str">
        <f>"夏冰"</f>
        <v>夏冰</v>
      </c>
      <c r="C26" s="13" t="s">
        <v>66</v>
      </c>
      <c r="D26" s="13" t="s">
        <v>67</v>
      </c>
      <c r="E26" s="13" t="s">
        <v>72</v>
      </c>
      <c r="F26" s="19">
        <v>36822</v>
      </c>
      <c r="G26" s="20" t="s">
        <v>21</v>
      </c>
      <c r="H26" s="13" t="str">
        <f t="shared" ref="H26:H31" si="4">"群众"</f>
        <v>群众</v>
      </c>
      <c r="I26" s="13" t="s">
        <v>22</v>
      </c>
      <c r="J26" s="13" t="s">
        <v>23</v>
      </c>
      <c r="K26" s="13" t="str">
        <f>"海南师范大学"</f>
        <v>海南师范大学</v>
      </c>
      <c r="L26" s="23">
        <v>81.8</v>
      </c>
      <c r="M26" s="12" t="s">
        <v>24</v>
      </c>
      <c r="N26" s="12" t="s">
        <v>24</v>
      </c>
      <c r="O26" s="12" t="s">
        <v>25</v>
      </c>
      <c r="P26" s="12"/>
    </row>
    <row r="27" s="1" customFormat="1" ht="29" customHeight="1" spans="1:16">
      <c r="A27" s="12">
        <v>24</v>
      </c>
      <c r="B27" s="13" t="str">
        <f>"胡艳霞"</f>
        <v>胡艳霞</v>
      </c>
      <c r="C27" s="13" t="s">
        <v>66</v>
      </c>
      <c r="D27" s="13" t="s">
        <v>73</v>
      </c>
      <c r="E27" s="13" t="s">
        <v>74</v>
      </c>
      <c r="F27" s="19">
        <v>34444</v>
      </c>
      <c r="G27" s="20" t="s">
        <v>21</v>
      </c>
      <c r="H27" s="13" t="str">
        <f t="shared" ref="H27:H32" si="5">"中共党员"</f>
        <v>中共党员</v>
      </c>
      <c r="I27" s="13" t="s">
        <v>22</v>
      </c>
      <c r="J27" s="13" t="s">
        <v>23</v>
      </c>
      <c r="K27" s="13" t="str">
        <f>"山西师范大学"</f>
        <v>山西师范大学</v>
      </c>
      <c r="L27" s="23">
        <v>75.88</v>
      </c>
      <c r="M27" s="12" t="s">
        <v>24</v>
      </c>
      <c r="N27" s="12" t="s">
        <v>24</v>
      </c>
      <c r="O27" s="12" t="s">
        <v>25</v>
      </c>
      <c r="P27" s="12"/>
    </row>
    <row r="28" s="1" customFormat="1" ht="29" customHeight="1" spans="1:16">
      <c r="A28" s="12">
        <v>25</v>
      </c>
      <c r="B28" s="13" t="str">
        <f>"褚桐"</f>
        <v>褚桐</v>
      </c>
      <c r="C28" s="13" t="s">
        <v>66</v>
      </c>
      <c r="D28" s="13" t="s">
        <v>73</v>
      </c>
      <c r="E28" s="13" t="s">
        <v>75</v>
      </c>
      <c r="F28" s="19">
        <v>35793</v>
      </c>
      <c r="G28" s="20" t="s">
        <v>30</v>
      </c>
      <c r="H28" s="13" t="str">
        <f t="shared" si="5"/>
        <v>中共党员</v>
      </c>
      <c r="I28" s="13" t="s">
        <v>58</v>
      </c>
      <c r="J28" s="13" t="s">
        <v>59</v>
      </c>
      <c r="K28" s="13" t="str">
        <f>"上海交通大学"</f>
        <v>上海交通大学</v>
      </c>
      <c r="L28" s="23">
        <v>81.4</v>
      </c>
      <c r="M28" s="12" t="s">
        <v>24</v>
      </c>
      <c r="N28" s="12" t="s">
        <v>24</v>
      </c>
      <c r="O28" s="12" t="s">
        <v>25</v>
      </c>
      <c r="P28" s="12"/>
    </row>
    <row r="29" s="1" customFormat="1" ht="29" customHeight="1" spans="1:16">
      <c r="A29" s="12">
        <v>26</v>
      </c>
      <c r="B29" s="13" t="str">
        <f>"龚会丽"</f>
        <v>龚会丽</v>
      </c>
      <c r="C29" s="13" t="s">
        <v>66</v>
      </c>
      <c r="D29" s="13" t="s">
        <v>73</v>
      </c>
      <c r="E29" s="13" t="s">
        <v>76</v>
      </c>
      <c r="F29" s="19">
        <v>28040</v>
      </c>
      <c r="G29" s="20" t="s">
        <v>21</v>
      </c>
      <c r="H29" s="13" t="str">
        <f t="shared" si="4"/>
        <v>群众</v>
      </c>
      <c r="I29" s="13" t="s">
        <v>22</v>
      </c>
      <c r="J29" s="13" t="s">
        <v>23</v>
      </c>
      <c r="K29" s="13" t="str">
        <f>"河南大学"</f>
        <v>河南大学</v>
      </c>
      <c r="L29" s="23">
        <v>78</v>
      </c>
      <c r="M29" s="12" t="s">
        <v>24</v>
      </c>
      <c r="N29" s="12" t="s">
        <v>24</v>
      </c>
      <c r="O29" s="12" t="s">
        <v>25</v>
      </c>
      <c r="P29" s="12"/>
    </row>
    <row r="30" s="1" customFormat="1" ht="28.5" spans="1:16">
      <c r="A30" s="12">
        <v>27</v>
      </c>
      <c r="B30" s="13" t="s">
        <v>77</v>
      </c>
      <c r="C30" s="13" t="s">
        <v>66</v>
      </c>
      <c r="D30" s="13" t="s">
        <v>73</v>
      </c>
      <c r="E30" s="13" t="str">
        <f>"260530042415"</f>
        <v>260530042415</v>
      </c>
      <c r="F30" s="19">
        <v>34548</v>
      </c>
      <c r="G30" s="20" t="s">
        <v>21</v>
      </c>
      <c r="H30" s="13" t="str">
        <f t="shared" si="4"/>
        <v>群众</v>
      </c>
      <c r="I30" s="13" t="s">
        <v>22</v>
      </c>
      <c r="J30" s="13" t="s">
        <v>23</v>
      </c>
      <c r="K30" s="14" t="str">
        <f>"吉林财经大学信息经济学院"</f>
        <v>吉林财经大学信息经济学院</v>
      </c>
      <c r="L30" s="23">
        <v>74.76</v>
      </c>
      <c r="M30" s="12" t="s">
        <v>24</v>
      </c>
      <c r="N30" s="12" t="s">
        <v>24</v>
      </c>
      <c r="O30" s="12" t="s">
        <v>25</v>
      </c>
      <c r="P30" s="12"/>
    </row>
    <row r="31" s="3" customFormat="1" ht="29" customHeight="1" spans="1:16">
      <c r="A31" s="12">
        <v>28</v>
      </c>
      <c r="B31" s="13" t="str">
        <f>"罗喜清"</f>
        <v>罗喜清</v>
      </c>
      <c r="C31" s="13" t="s">
        <v>66</v>
      </c>
      <c r="D31" s="13" t="s">
        <v>73</v>
      </c>
      <c r="E31" s="13" t="s">
        <v>78</v>
      </c>
      <c r="F31" s="19">
        <v>34926</v>
      </c>
      <c r="G31" s="20" t="s">
        <v>21</v>
      </c>
      <c r="H31" s="13" t="str">
        <f t="shared" si="4"/>
        <v>群众</v>
      </c>
      <c r="I31" s="13" t="s">
        <v>22</v>
      </c>
      <c r="J31" s="13" t="s">
        <v>23</v>
      </c>
      <c r="K31" s="13" t="str">
        <f>"江西理工大学"</f>
        <v>江西理工大学</v>
      </c>
      <c r="L31" s="23">
        <v>81.4</v>
      </c>
      <c r="M31" s="12" t="s">
        <v>24</v>
      </c>
      <c r="N31" s="12" t="s">
        <v>24</v>
      </c>
      <c r="O31" s="12" t="s">
        <v>25</v>
      </c>
      <c r="P31" s="12"/>
    </row>
    <row r="32" s="3" customFormat="1" ht="29" customHeight="1" spans="1:16">
      <c r="A32" s="12">
        <v>29</v>
      </c>
      <c r="B32" s="13" t="str">
        <f>"高小卓"</f>
        <v>高小卓</v>
      </c>
      <c r="C32" s="13" t="s">
        <v>66</v>
      </c>
      <c r="D32" s="13" t="s">
        <v>73</v>
      </c>
      <c r="E32" s="13" t="s">
        <v>79</v>
      </c>
      <c r="F32" s="19">
        <v>34733</v>
      </c>
      <c r="G32" s="20" t="s">
        <v>30</v>
      </c>
      <c r="H32" s="13" t="str">
        <f t="shared" si="5"/>
        <v>中共党员</v>
      </c>
      <c r="I32" s="13" t="s">
        <v>22</v>
      </c>
      <c r="J32" s="13" t="s">
        <v>23</v>
      </c>
      <c r="K32" s="13" t="str">
        <f>"海南热带海洋学院"</f>
        <v>海南热带海洋学院</v>
      </c>
      <c r="L32" s="23">
        <v>82.2</v>
      </c>
      <c r="M32" s="12" t="s">
        <v>24</v>
      </c>
      <c r="N32" s="12" t="s">
        <v>24</v>
      </c>
      <c r="O32" s="12" t="s">
        <v>25</v>
      </c>
      <c r="P32" s="12"/>
    </row>
    <row r="33" s="3" customFormat="1" ht="29" customHeight="1" spans="1:16">
      <c r="A33" s="12">
        <v>30</v>
      </c>
      <c r="B33" s="13" t="str">
        <f>"李柔柔"</f>
        <v>李柔柔</v>
      </c>
      <c r="C33" s="13" t="s">
        <v>66</v>
      </c>
      <c r="D33" s="13" t="s">
        <v>80</v>
      </c>
      <c r="E33" s="13" t="str">
        <f>"260530043714"</f>
        <v>260530043714</v>
      </c>
      <c r="F33" s="19">
        <v>36095</v>
      </c>
      <c r="G33" s="20" t="s">
        <v>21</v>
      </c>
      <c r="H33" s="13" t="str">
        <f>"共青团员"</f>
        <v>共青团员</v>
      </c>
      <c r="I33" s="13" t="s">
        <v>58</v>
      </c>
      <c r="J33" s="13" t="s">
        <v>59</v>
      </c>
      <c r="K33" s="13" t="str">
        <f>"马来西亚国立大学"</f>
        <v>马来西亚国立大学</v>
      </c>
      <c r="L33" s="23">
        <v>79.16</v>
      </c>
      <c r="M33" s="12" t="s">
        <v>24</v>
      </c>
      <c r="N33" s="12" t="s">
        <v>24</v>
      </c>
      <c r="O33" s="12" t="s">
        <v>25</v>
      </c>
      <c r="P33" s="12"/>
    </row>
    <row r="34" s="3" customFormat="1" ht="29" customHeight="1" spans="1:16">
      <c r="A34" s="12">
        <v>31</v>
      </c>
      <c r="B34" s="13" t="str">
        <f>"李丹"</f>
        <v>李丹</v>
      </c>
      <c r="C34" s="13" t="s">
        <v>66</v>
      </c>
      <c r="D34" s="13" t="s">
        <v>80</v>
      </c>
      <c r="E34" s="13" t="str">
        <f>"260530043716"</f>
        <v>260530043716</v>
      </c>
      <c r="F34" s="19">
        <v>36413</v>
      </c>
      <c r="G34" s="20" t="s">
        <v>21</v>
      </c>
      <c r="H34" s="13" t="str">
        <f>"共青团员"</f>
        <v>共青团员</v>
      </c>
      <c r="I34" s="13" t="s">
        <v>22</v>
      </c>
      <c r="J34" s="13" t="s">
        <v>23</v>
      </c>
      <c r="K34" s="13" t="str">
        <f>"河北师范大学"</f>
        <v>河北师范大学</v>
      </c>
      <c r="L34" s="23">
        <v>80.64</v>
      </c>
      <c r="M34" s="12" t="s">
        <v>24</v>
      </c>
      <c r="N34" s="12" t="s">
        <v>24</v>
      </c>
      <c r="O34" s="12" t="s">
        <v>25</v>
      </c>
      <c r="P34" s="12"/>
    </row>
    <row r="35" s="4" customFormat="1" ht="29" customHeight="1" spans="1:16">
      <c r="A35" s="12">
        <v>32</v>
      </c>
      <c r="B35" s="25" t="s">
        <v>81</v>
      </c>
      <c r="C35" s="25" t="s">
        <v>66</v>
      </c>
      <c r="D35" s="13" t="s">
        <v>80</v>
      </c>
      <c r="E35" s="13" t="str">
        <f>"260530043711"</f>
        <v>260530043711</v>
      </c>
      <c r="F35" s="19">
        <v>36089</v>
      </c>
      <c r="G35" s="20" t="s">
        <v>21</v>
      </c>
      <c r="H35" s="25" t="s">
        <v>82</v>
      </c>
      <c r="I35" s="13" t="s">
        <v>22</v>
      </c>
      <c r="J35" s="13" t="s">
        <v>23</v>
      </c>
      <c r="K35" s="29" t="str">
        <f>"重庆第二师范学院"</f>
        <v>重庆第二师范学院</v>
      </c>
      <c r="L35" s="23">
        <v>78.68</v>
      </c>
      <c r="M35" s="12" t="s">
        <v>24</v>
      </c>
      <c r="N35" s="12" t="s">
        <v>24</v>
      </c>
      <c r="O35" s="12" t="s">
        <v>25</v>
      </c>
      <c r="P35" s="26"/>
    </row>
    <row r="36" s="3" customFormat="1" ht="29" customHeight="1" spans="1:16">
      <c r="A36" s="12">
        <v>33</v>
      </c>
      <c r="B36" s="13" t="str">
        <f>"冯婷"</f>
        <v>冯婷</v>
      </c>
      <c r="C36" s="13" t="s">
        <v>66</v>
      </c>
      <c r="D36" s="13" t="s">
        <v>80</v>
      </c>
      <c r="E36" s="32" t="s">
        <v>83</v>
      </c>
      <c r="F36" s="19">
        <v>33463</v>
      </c>
      <c r="G36" s="20" t="s">
        <v>21</v>
      </c>
      <c r="H36" s="13" t="str">
        <f>"群众"</f>
        <v>群众</v>
      </c>
      <c r="I36" s="13" t="s">
        <v>22</v>
      </c>
      <c r="J36" s="13" t="s">
        <v>23</v>
      </c>
      <c r="K36" s="13" t="str">
        <f>"武汉纺织大学"</f>
        <v>武汉纺织大学</v>
      </c>
      <c r="L36" s="23">
        <v>78.72</v>
      </c>
      <c r="M36" s="12" t="s">
        <v>24</v>
      </c>
      <c r="N36" s="12" t="s">
        <v>24</v>
      </c>
      <c r="O36" s="12" t="s">
        <v>25</v>
      </c>
      <c r="P36" s="12"/>
    </row>
    <row r="37" s="3" customFormat="1" ht="29" customHeight="1" spans="1:16">
      <c r="A37" s="12">
        <v>34</v>
      </c>
      <c r="B37" s="25" t="str">
        <f>"王和驰"</f>
        <v>王和驰</v>
      </c>
      <c r="C37" s="13" t="s">
        <v>66</v>
      </c>
      <c r="D37" s="13" t="s">
        <v>80</v>
      </c>
      <c r="E37" s="32" t="s">
        <v>84</v>
      </c>
      <c r="F37" s="19">
        <v>35079</v>
      </c>
      <c r="G37" s="20" t="s">
        <v>30</v>
      </c>
      <c r="H37" s="13" t="s">
        <v>82</v>
      </c>
      <c r="I37" s="13" t="s">
        <v>22</v>
      </c>
      <c r="J37" s="13" t="s">
        <v>23</v>
      </c>
      <c r="K37" s="13" t="s">
        <v>85</v>
      </c>
      <c r="L37" s="23">
        <v>78.6</v>
      </c>
      <c r="M37" s="12" t="s">
        <v>24</v>
      </c>
      <c r="N37" s="12" t="s">
        <v>24</v>
      </c>
      <c r="O37" s="12" t="s">
        <v>25</v>
      </c>
      <c r="P37" s="31"/>
    </row>
    <row r="38" s="3" customFormat="1" ht="29" customHeight="1" spans="1:16">
      <c r="A38" s="12">
        <v>35</v>
      </c>
      <c r="B38" s="13" t="str">
        <f>"李光"</f>
        <v>李光</v>
      </c>
      <c r="C38" s="13" t="s">
        <v>66</v>
      </c>
      <c r="D38" s="13" t="s">
        <v>86</v>
      </c>
      <c r="E38" s="25" t="s">
        <v>87</v>
      </c>
      <c r="F38" s="19">
        <v>33000</v>
      </c>
      <c r="G38" s="20" t="s">
        <v>30</v>
      </c>
      <c r="H38" s="13" t="str">
        <f>"中共党员"</f>
        <v>中共党员</v>
      </c>
      <c r="I38" s="13" t="s">
        <v>22</v>
      </c>
      <c r="J38" s="13" t="s">
        <v>23</v>
      </c>
      <c r="K38" s="13" t="str">
        <f>"中国矿业大学"</f>
        <v>中国矿业大学</v>
      </c>
      <c r="L38" s="23">
        <v>76.76</v>
      </c>
      <c r="M38" s="12" t="s">
        <v>24</v>
      </c>
      <c r="N38" s="12" t="s">
        <v>24</v>
      </c>
      <c r="O38" s="12" t="s">
        <v>25</v>
      </c>
      <c r="P38" s="12"/>
    </row>
    <row r="39" s="3" customFormat="1" ht="29" customHeight="1" spans="1:16">
      <c r="A39" s="12">
        <v>36</v>
      </c>
      <c r="B39" s="13" t="str">
        <f>"栾晨竹"</f>
        <v>栾晨竹</v>
      </c>
      <c r="C39" s="13" t="s">
        <v>66</v>
      </c>
      <c r="D39" s="13" t="s">
        <v>86</v>
      </c>
      <c r="E39" s="25" t="s">
        <v>88</v>
      </c>
      <c r="F39" s="19">
        <v>33423</v>
      </c>
      <c r="G39" s="20" t="s">
        <v>21</v>
      </c>
      <c r="H39" s="13" t="str">
        <f>"群众"</f>
        <v>群众</v>
      </c>
      <c r="I39" s="13" t="s">
        <v>22</v>
      </c>
      <c r="J39" s="13" t="s">
        <v>23</v>
      </c>
      <c r="K39" s="13" t="str">
        <f>"西南民族大学"</f>
        <v>西南民族大学</v>
      </c>
      <c r="L39" s="23">
        <v>69.08</v>
      </c>
      <c r="M39" s="12" t="s">
        <v>24</v>
      </c>
      <c r="N39" s="12" t="s">
        <v>24</v>
      </c>
      <c r="O39" s="12" t="s">
        <v>25</v>
      </c>
      <c r="P39" s="12"/>
    </row>
    <row r="40" s="1" customFormat="1" ht="29" customHeight="1" spans="1:16">
      <c r="A40" s="12">
        <v>37</v>
      </c>
      <c r="B40" s="13" t="str">
        <f>"金春红"</f>
        <v>金春红</v>
      </c>
      <c r="C40" s="13" t="s">
        <v>66</v>
      </c>
      <c r="D40" s="13" t="s">
        <v>89</v>
      </c>
      <c r="E40" s="25" t="s">
        <v>90</v>
      </c>
      <c r="F40" s="19">
        <v>37243</v>
      </c>
      <c r="G40" s="20" t="s">
        <v>21</v>
      </c>
      <c r="H40" s="13" t="str">
        <f>"共青团员"</f>
        <v>共青团员</v>
      </c>
      <c r="I40" s="13" t="s">
        <v>22</v>
      </c>
      <c r="J40" s="13" t="s">
        <v>23</v>
      </c>
      <c r="K40" s="13" t="str">
        <f>"云南民族大学"</f>
        <v>云南民族大学</v>
      </c>
      <c r="L40" s="23">
        <v>72.52</v>
      </c>
      <c r="M40" s="12" t="s">
        <v>24</v>
      </c>
      <c r="N40" s="12" t="s">
        <v>24</v>
      </c>
      <c r="O40" s="12" t="s">
        <v>25</v>
      </c>
      <c r="P40" s="12"/>
    </row>
    <row r="41" s="1" customFormat="1" ht="29" customHeight="1" spans="1:16">
      <c r="A41" s="12">
        <v>38</v>
      </c>
      <c r="B41" s="13" t="str">
        <f>"王盛平"</f>
        <v>王盛平</v>
      </c>
      <c r="C41" s="13" t="s">
        <v>66</v>
      </c>
      <c r="D41" s="13" t="s">
        <v>89</v>
      </c>
      <c r="E41" s="25" t="s">
        <v>91</v>
      </c>
      <c r="F41" s="19">
        <v>37645</v>
      </c>
      <c r="G41" s="20" t="s">
        <v>30</v>
      </c>
      <c r="H41" s="13" t="str">
        <f>"群众"</f>
        <v>群众</v>
      </c>
      <c r="I41" s="13" t="s">
        <v>22</v>
      </c>
      <c r="J41" s="13" t="s">
        <v>23</v>
      </c>
      <c r="K41" s="13" t="str">
        <f>"海南师范大学"</f>
        <v>海南师范大学</v>
      </c>
      <c r="L41" s="23">
        <v>73.84</v>
      </c>
      <c r="M41" s="12" t="s">
        <v>24</v>
      </c>
      <c r="N41" s="12" t="s">
        <v>24</v>
      </c>
      <c r="O41" s="12" t="s">
        <v>25</v>
      </c>
      <c r="P41" s="12"/>
    </row>
    <row r="42" s="1" customFormat="1" ht="29" customHeight="1" spans="1:16">
      <c r="A42" s="12">
        <v>39</v>
      </c>
      <c r="B42" s="13" t="str">
        <f>"肖洁"</f>
        <v>肖洁</v>
      </c>
      <c r="C42" s="13" t="s">
        <v>66</v>
      </c>
      <c r="D42" s="13" t="s">
        <v>92</v>
      </c>
      <c r="E42" s="25" t="s">
        <v>93</v>
      </c>
      <c r="F42" s="19">
        <v>34233</v>
      </c>
      <c r="G42" s="20" t="s">
        <v>21</v>
      </c>
      <c r="H42" s="13" t="str">
        <f>"中共党员"</f>
        <v>中共党员</v>
      </c>
      <c r="I42" s="13" t="s">
        <v>58</v>
      </c>
      <c r="J42" s="13" t="s">
        <v>59</v>
      </c>
      <c r="K42" s="13" t="str">
        <f>"湖南师范大学"</f>
        <v>湖南师范大学</v>
      </c>
      <c r="L42" s="23">
        <v>83.92</v>
      </c>
      <c r="M42" s="12" t="s">
        <v>24</v>
      </c>
      <c r="N42" s="12" t="s">
        <v>24</v>
      </c>
      <c r="O42" s="12" t="s">
        <v>25</v>
      </c>
      <c r="P42" s="12"/>
    </row>
    <row r="43" s="1" customFormat="1" ht="29" customHeight="1" spans="1:16">
      <c r="A43" s="12">
        <v>40</v>
      </c>
      <c r="B43" s="13" t="str">
        <f>"郑玲玲"</f>
        <v>郑玲玲</v>
      </c>
      <c r="C43" s="13" t="s">
        <v>66</v>
      </c>
      <c r="D43" s="13" t="s">
        <v>94</v>
      </c>
      <c r="E43" s="13" t="s">
        <v>95</v>
      </c>
      <c r="F43" s="19">
        <v>32969</v>
      </c>
      <c r="G43" s="20" t="s">
        <v>21</v>
      </c>
      <c r="H43" s="13" t="str">
        <f t="shared" ref="H43:H50" si="6">"群众"</f>
        <v>群众</v>
      </c>
      <c r="I43" s="13" t="s">
        <v>22</v>
      </c>
      <c r="J43" s="13" t="s">
        <v>23</v>
      </c>
      <c r="K43" s="13" t="str">
        <f>"长春大学光华学院"</f>
        <v>长春大学光华学院</v>
      </c>
      <c r="L43" s="23">
        <v>83.32</v>
      </c>
      <c r="M43" s="12" t="s">
        <v>24</v>
      </c>
      <c r="N43" s="12" t="s">
        <v>24</v>
      </c>
      <c r="O43" s="12" t="s">
        <v>25</v>
      </c>
      <c r="P43" s="12"/>
    </row>
    <row r="44" s="1" customFormat="1" ht="29" customHeight="1" spans="1:16">
      <c r="A44" s="12">
        <v>41</v>
      </c>
      <c r="B44" s="13" t="str">
        <f>"刘锦松"</f>
        <v>刘锦松</v>
      </c>
      <c r="C44" s="13" t="s">
        <v>66</v>
      </c>
      <c r="D44" s="13" t="s">
        <v>96</v>
      </c>
      <c r="E44" s="13" t="s">
        <v>97</v>
      </c>
      <c r="F44" s="19">
        <v>37961</v>
      </c>
      <c r="G44" s="20" t="s">
        <v>30</v>
      </c>
      <c r="H44" s="13" t="str">
        <f>"中共预备党员"</f>
        <v>中共预备党员</v>
      </c>
      <c r="I44" s="13" t="s">
        <v>22</v>
      </c>
      <c r="J44" s="13" t="s">
        <v>23</v>
      </c>
      <c r="K44" s="13" t="str">
        <f>"湖北大学"</f>
        <v>湖北大学</v>
      </c>
      <c r="L44" s="23">
        <v>78.48</v>
      </c>
      <c r="M44" s="12" t="s">
        <v>24</v>
      </c>
      <c r="N44" s="12" t="s">
        <v>24</v>
      </c>
      <c r="O44" s="12" t="s">
        <v>25</v>
      </c>
      <c r="P44" s="12"/>
    </row>
    <row r="45" s="1" customFormat="1" ht="29" customHeight="1" spans="1:16">
      <c r="A45" s="12">
        <v>42</v>
      </c>
      <c r="B45" s="13" t="str">
        <f>"张道坤"</f>
        <v>张道坤</v>
      </c>
      <c r="C45" s="13" t="s">
        <v>66</v>
      </c>
      <c r="D45" s="13" t="s">
        <v>96</v>
      </c>
      <c r="E45" s="13" t="s">
        <v>98</v>
      </c>
      <c r="F45" s="19">
        <v>36318</v>
      </c>
      <c r="G45" s="20" t="s">
        <v>30</v>
      </c>
      <c r="H45" s="13" t="str">
        <f t="shared" si="6"/>
        <v>群众</v>
      </c>
      <c r="I45" s="13" t="s">
        <v>22</v>
      </c>
      <c r="J45" s="13" t="s">
        <v>23</v>
      </c>
      <c r="K45" s="13" t="str">
        <f>"济南大学泉城学院"</f>
        <v>济南大学泉城学院</v>
      </c>
      <c r="L45" s="23">
        <v>77.2</v>
      </c>
      <c r="M45" s="12" t="s">
        <v>24</v>
      </c>
      <c r="N45" s="12" t="s">
        <v>24</v>
      </c>
      <c r="O45" s="12" t="s">
        <v>25</v>
      </c>
      <c r="P45" s="12"/>
    </row>
    <row r="46" s="1" customFormat="1" ht="29" customHeight="1" spans="1:16">
      <c r="A46" s="12">
        <v>43</v>
      </c>
      <c r="B46" s="13" t="str">
        <f>"黎肇腾"</f>
        <v>黎肇腾</v>
      </c>
      <c r="C46" s="13" t="s">
        <v>66</v>
      </c>
      <c r="D46" s="13" t="s">
        <v>99</v>
      </c>
      <c r="E46" s="13" t="s">
        <v>100</v>
      </c>
      <c r="F46" s="19">
        <v>35925</v>
      </c>
      <c r="G46" s="20" t="s">
        <v>30</v>
      </c>
      <c r="H46" s="13" t="str">
        <f>"共青团员"</f>
        <v>共青团员</v>
      </c>
      <c r="I46" s="13" t="s">
        <v>22</v>
      </c>
      <c r="J46" s="13" t="s">
        <v>23</v>
      </c>
      <c r="K46" s="13" t="str">
        <f>"海口经济学院"</f>
        <v>海口经济学院</v>
      </c>
      <c r="L46" s="23">
        <v>75.04</v>
      </c>
      <c r="M46" s="12" t="s">
        <v>24</v>
      </c>
      <c r="N46" s="12" t="s">
        <v>24</v>
      </c>
      <c r="O46" s="12" t="s">
        <v>25</v>
      </c>
      <c r="P46" s="12"/>
    </row>
    <row r="47" s="1" customFormat="1" ht="29" customHeight="1" spans="1:16">
      <c r="A47" s="12">
        <v>44</v>
      </c>
      <c r="B47" s="13" t="str">
        <f>"周毅"</f>
        <v>周毅</v>
      </c>
      <c r="C47" s="13" t="s">
        <v>66</v>
      </c>
      <c r="D47" s="13" t="s">
        <v>99</v>
      </c>
      <c r="E47" s="13" t="s">
        <v>101</v>
      </c>
      <c r="F47" s="19">
        <v>37873</v>
      </c>
      <c r="G47" s="20" t="s">
        <v>30</v>
      </c>
      <c r="H47" s="13" t="str">
        <f t="shared" si="6"/>
        <v>群众</v>
      </c>
      <c r="I47" s="13" t="s">
        <v>22</v>
      </c>
      <c r="J47" s="13" t="s">
        <v>23</v>
      </c>
      <c r="K47" s="13" t="str">
        <f>"广西科技师范学院"</f>
        <v>广西科技师范学院</v>
      </c>
      <c r="L47" s="23">
        <v>75.28</v>
      </c>
      <c r="M47" s="12" t="s">
        <v>24</v>
      </c>
      <c r="N47" s="12" t="s">
        <v>24</v>
      </c>
      <c r="O47" s="12" t="s">
        <v>25</v>
      </c>
      <c r="P47" s="12"/>
    </row>
    <row r="48" s="1" customFormat="1" ht="30" customHeight="1" spans="1:16">
      <c r="A48" s="12">
        <v>45</v>
      </c>
      <c r="B48" s="13" t="str">
        <f>"蒲天星"</f>
        <v>蒲天星</v>
      </c>
      <c r="C48" s="13" t="s">
        <v>102</v>
      </c>
      <c r="D48" s="13" t="s">
        <v>103</v>
      </c>
      <c r="E48" s="13" t="s">
        <v>104</v>
      </c>
      <c r="F48" s="19">
        <v>33974</v>
      </c>
      <c r="G48" s="20" t="s">
        <v>21</v>
      </c>
      <c r="H48" s="13" t="str">
        <f t="shared" si="6"/>
        <v>群众</v>
      </c>
      <c r="I48" s="13" t="s">
        <v>22</v>
      </c>
      <c r="J48" s="13" t="s">
        <v>23</v>
      </c>
      <c r="K48" s="13" t="str">
        <f>"南阳师范学院"</f>
        <v>南阳师范学院</v>
      </c>
      <c r="L48" s="23">
        <v>79.12</v>
      </c>
      <c r="M48" s="12" t="s">
        <v>24</v>
      </c>
      <c r="N48" s="12" t="s">
        <v>24</v>
      </c>
      <c r="O48" s="12" t="s">
        <v>25</v>
      </c>
      <c r="P48" s="12"/>
    </row>
    <row r="49" s="1" customFormat="1" ht="30" customHeight="1" spans="1:16">
      <c r="A49" s="12">
        <v>46</v>
      </c>
      <c r="B49" s="13" t="str">
        <f>"黎欣欣"</f>
        <v>黎欣欣</v>
      </c>
      <c r="C49" s="13" t="s">
        <v>105</v>
      </c>
      <c r="D49" s="13" t="s">
        <v>106</v>
      </c>
      <c r="E49" s="13" t="s">
        <v>107</v>
      </c>
      <c r="F49" s="19">
        <v>38141</v>
      </c>
      <c r="G49" s="20" t="s">
        <v>21</v>
      </c>
      <c r="H49" s="13" t="str">
        <f t="shared" si="6"/>
        <v>群众</v>
      </c>
      <c r="I49" s="13" t="s">
        <v>22</v>
      </c>
      <c r="J49" s="13" t="s">
        <v>108</v>
      </c>
      <c r="K49" s="13" t="str">
        <f>"广西师范大学"</f>
        <v>广西师范大学</v>
      </c>
      <c r="L49" s="23">
        <v>84.84</v>
      </c>
      <c r="M49" s="12" t="s">
        <v>24</v>
      </c>
      <c r="N49" s="12" t="s">
        <v>24</v>
      </c>
      <c r="O49" s="12" t="s">
        <v>25</v>
      </c>
      <c r="P49" s="12"/>
    </row>
    <row r="50" s="1" customFormat="1" ht="30" customHeight="1" spans="1:16">
      <c r="A50" s="12">
        <v>47</v>
      </c>
      <c r="B50" s="25" t="s">
        <v>109</v>
      </c>
      <c r="C50" s="13" t="s">
        <v>105</v>
      </c>
      <c r="D50" s="13" t="s">
        <v>106</v>
      </c>
      <c r="E50" s="13" t="s">
        <v>110</v>
      </c>
      <c r="F50" s="19">
        <v>38071</v>
      </c>
      <c r="G50" s="20" t="s">
        <v>21</v>
      </c>
      <c r="H50" s="13" t="str">
        <f t="shared" si="6"/>
        <v>群众</v>
      </c>
      <c r="I50" s="13" t="s">
        <v>22</v>
      </c>
      <c r="J50" s="13" t="s">
        <v>23</v>
      </c>
      <c r="K50" s="14" t="str">
        <f t="shared" ref="K50:K52" si="7">"海南师范大学"</f>
        <v>海南师范大学</v>
      </c>
      <c r="L50" s="23">
        <v>78.92</v>
      </c>
      <c r="M50" s="12" t="s">
        <v>24</v>
      </c>
      <c r="N50" s="12" t="s">
        <v>24</v>
      </c>
      <c r="O50" s="12" t="s">
        <v>25</v>
      </c>
      <c r="P50" s="12"/>
    </row>
    <row r="51" s="1" customFormat="1" ht="30" customHeight="1" spans="1:16">
      <c r="A51" s="26">
        <v>48</v>
      </c>
      <c r="B51" s="25" t="s">
        <v>111</v>
      </c>
      <c r="C51" s="25" t="s">
        <v>105</v>
      </c>
      <c r="D51" s="25" t="s">
        <v>112</v>
      </c>
      <c r="E51" s="13" t="str">
        <f>"260530056522"</f>
        <v>260530056522</v>
      </c>
      <c r="F51" s="27">
        <v>37927</v>
      </c>
      <c r="G51" s="28" t="s">
        <v>30</v>
      </c>
      <c r="H51" s="25" t="s">
        <v>113</v>
      </c>
      <c r="I51" s="25" t="s">
        <v>22</v>
      </c>
      <c r="J51" s="13" t="s">
        <v>23</v>
      </c>
      <c r="K51" s="29" t="str">
        <f t="shared" si="7"/>
        <v>海南师范大学</v>
      </c>
      <c r="L51" s="30">
        <v>72.36</v>
      </c>
      <c r="M51" s="26" t="s">
        <v>24</v>
      </c>
      <c r="N51" s="26" t="s">
        <v>24</v>
      </c>
      <c r="O51" s="26" t="s">
        <v>25</v>
      </c>
      <c r="P51" s="26"/>
    </row>
    <row r="52" s="1" customFormat="1" ht="30" customHeight="1" spans="1:16">
      <c r="A52" s="26">
        <v>49</v>
      </c>
      <c r="B52" s="25" t="str">
        <f>"叶冠儒"</f>
        <v>叶冠儒</v>
      </c>
      <c r="C52" s="25" t="s">
        <v>105</v>
      </c>
      <c r="D52" s="25" t="s">
        <v>112</v>
      </c>
      <c r="E52" s="13" t="str">
        <f>"260530056626"</f>
        <v>260530056626</v>
      </c>
      <c r="F52" s="27">
        <v>38100</v>
      </c>
      <c r="G52" s="28" t="s">
        <v>30</v>
      </c>
      <c r="H52" s="25" t="str">
        <f>"群众"</f>
        <v>群众</v>
      </c>
      <c r="I52" s="25" t="s">
        <v>22</v>
      </c>
      <c r="J52" s="13" t="s">
        <v>23</v>
      </c>
      <c r="K52" s="25" t="str">
        <f t="shared" si="7"/>
        <v>海南师范大学</v>
      </c>
      <c r="L52" s="30">
        <v>75.44</v>
      </c>
      <c r="M52" s="26" t="s">
        <v>24</v>
      </c>
      <c r="N52" s="26" t="s">
        <v>24</v>
      </c>
      <c r="O52" s="26" t="s">
        <v>25</v>
      </c>
      <c r="P52" s="26"/>
    </row>
    <row r="53" s="1" customFormat="1" ht="30" customHeight="1" spans="1:16">
      <c r="A53" s="12">
        <v>50</v>
      </c>
      <c r="B53" s="13" t="str">
        <f>"蒲月丽"</f>
        <v>蒲月丽</v>
      </c>
      <c r="C53" s="13" t="s">
        <v>105</v>
      </c>
      <c r="D53" s="13" t="s">
        <v>114</v>
      </c>
      <c r="E53" s="13" t="s">
        <v>115</v>
      </c>
      <c r="F53" s="19">
        <v>35466</v>
      </c>
      <c r="G53" s="20" t="s">
        <v>21</v>
      </c>
      <c r="H53" s="13" t="str">
        <f>"群众"</f>
        <v>群众</v>
      </c>
      <c r="I53" s="13" t="s">
        <v>22</v>
      </c>
      <c r="J53" s="13" t="s">
        <v>23</v>
      </c>
      <c r="K53" s="13" t="str">
        <f>"曲阜师范大学"</f>
        <v>曲阜师范大学</v>
      </c>
      <c r="L53" s="23">
        <v>85.44</v>
      </c>
      <c r="M53" s="12" t="s">
        <v>24</v>
      </c>
      <c r="N53" s="12" t="s">
        <v>24</v>
      </c>
      <c r="O53" s="12" t="s">
        <v>25</v>
      </c>
      <c r="P53" s="12"/>
    </row>
    <row r="54" s="1" customFormat="1" ht="30" customHeight="1" spans="1:16">
      <c r="A54" s="12">
        <v>51</v>
      </c>
      <c r="B54" s="13" t="str">
        <f>"符兆莹"</f>
        <v>符兆莹</v>
      </c>
      <c r="C54" s="13" t="s">
        <v>105</v>
      </c>
      <c r="D54" s="13" t="s">
        <v>116</v>
      </c>
      <c r="E54" s="13" t="s">
        <v>117</v>
      </c>
      <c r="F54" s="19">
        <v>37941</v>
      </c>
      <c r="G54" s="20" t="s">
        <v>21</v>
      </c>
      <c r="H54" s="13" t="str">
        <f t="shared" ref="H54:H62" si="8">"共青团员"</f>
        <v>共青团员</v>
      </c>
      <c r="I54" s="13" t="s">
        <v>22</v>
      </c>
      <c r="J54" s="13" t="s">
        <v>23</v>
      </c>
      <c r="K54" s="13" t="str">
        <f>"海南师范大学"</f>
        <v>海南师范大学</v>
      </c>
      <c r="L54" s="23">
        <v>75.8</v>
      </c>
      <c r="M54" s="12" t="s">
        <v>24</v>
      </c>
      <c r="N54" s="12" t="s">
        <v>24</v>
      </c>
      <c r="O54" s="12" t="s">
        <v>25</v>
      </c>
      <c r="P54" s="12"/>
    </row>
    <row r="55" s="1" customFormat="1" ht="30" customHeight="1" spans="1:16">
      <c r="A55" s="12">
        <v>52</v>
      </c>
      <c r="B55" s="13" t="str">
        <f>"邢淳"</f>
        <v>邢淳</v>
      </c>
      <c r="C55" s="13" t="s">
        <v>105</v>
      </c>
      <c r="D55" s="13" t="s">
        <v>118</v>
      </c>
      <c r="E55" s="13" t="s">
        <v>119</v>
      </c>
      <c r="F55" s="19">
        <v>36551</v>
      </c>
      <c r="G55" s="20" t="s">
        <v>30</v>
      </c>
      <c r="H55" s="13" t="str">
        <f t="shared" si="8"/>
        <v>共青团员</v>
      </c>
      <c r="I55" s="13" t="s">
        <v>58</v>
      </c>
      <c r="J55" s="13" t="s">
        <v>59</v>
      </c>
      <c r="K55" s="13" t="str">
        <f>"东北师范大学"</f>
        <v>东北师范大学</v>
      </c>
      <c r="L55" s="23">
        <v>76</v>
      </c>
      <c r="M55" s="12" t="s">
        <v>24</v>
      </c>
      <c r="N55" s="12" t="s">
        <v>24</v>
      </c>
      <c r="O55" s="12" t="s">
        <v>25</v>
      </c>
      <c r="P55" s="12"/>
    </row>
    <row r="56" s="1" customFormat="1" ht="30" customHeight="1" spans="1:16">
      <c r="A56" s="12">
        <v>53</v>
      </c>
      <c r="B56" s="13" t="str">
        <f>"周一鸣"</f>
        <v>周一鸣</v>
      </c>
      <c r="C56" s="13" t="s">
        <v>105</v>
      </c>
      <c r="D56" s="13" t="s">
        <v>120</v>
      </c>
      <c r="E56" s="13" t="s">
        <v>121</v>
      </c>
      <c r="F56" s="19">
        <v>37503</v>
      </c>
      <c r="G56" s="20" t="s">
        <v>21</v>
      </c>
      <c r="H56" s="13" t="str">
        <f t="shared" si="8"/>
        <v>共青团员</v>
      </c>
      <c r="I56" s="13" t="s">
        <v>22</v>
      </c>
      <c r="J56" s="13" t="s">
        <v>23</v>
      </c>
      <c r="K56" s="13" t="str">
        <f>"吉林师范大学博达学院"</f>
        <v>吉林师范大学博达学院</v>
      </c>
      <c r="L56" s="23">
        <v>79.08</v>
      </c>
      <c r="M56" s="12" t="s">
        <v>24</v>
      </c>
      <c r="N56" s="12" t="s">
        <v>24</v>
      </c>
      <c r="O56" s="12" t="s">
        <v>25</v>
      </c>
      <c r="P56" s="12"/>
    </row>
    <row r="57" s="1" customFormat="1" ht="30" customHeight="1" spans="1:16">
      <c r="A57" s="12">
        <v>54</v>
      </c>
      <c r="B57" s="13" t="str">
        <f>"谢伟杰"</f>
        <v>谢伟杰</v>
      </c>
      <c r="C57" s="13" t="s">
        <v>105</v>
      </c>
      <c r="D57" s="13" t="s">
        <v>122</v>
      </c>
      <c r="E57" s="13" t="s">
        <v>123</v>
      </c>
      <c r="F57" s="19">
        <v>37846</v>
      </c>
      <c r="G57" s="20" t="s">
        <v>30</v>
      </c>
      <c r="H57" s="13" t="str">
        <f t="shared" si="8"/>
        <v>共青团员</v>
      </c>
      <c r="I57" s="13" t="s">
        <v>22</v>
      </c>
      <c r="J57" s="13" t="s">
        <v>23</v>
      </c>
      <c r="K57" s="13" t="str">
        <f>"琼台师范学院"</f>
        <v>琼台师范学院</v>
      </c>
      <c r="L57" s="23">
        <v>80.8</v>
      </c>
      <c r="M57" s="12" t="s">
        <v>24</v>
      </c>
      <c r="N57" s="12" t="s">
        <v>24</v>
      </c>
      <c r="O57" s="12" t="s">
        <v>25</v>
      </c>
      <c r="P57" s="12"/>
    </row>
    <row r="58" s="1" customFormat="1" ht="30" customHeight="1" spans="1:16">
      <c r="A58" s="12">
        <v>55</v>
      </c>
      <c r="B58" s="13" t="str">
        <f>" 符燕莹"</f>
        <v> 符燕莹</v>
      </c>
      <c r="C58" s="13" t="s">
        <v>124</v>
      </c>
      <c r="D58" s="13" t="s">
        <v>125</v>
      </c>
      <c r="E58" s="13" t="s">
        <v>126</v>
      </c>
      <c r="F58" s="19">
        <v>35998</v>
      </c>
      <c r="G58" s="20" t="s">
        <v>21</v>
      </c>
      <c r="H58" s="13" t="str">
        <f t="shared" si="8"/>
        <v>共青团员</v>
      </c>
      <c r="I58" s="13" t="s">
        <v>22</v>
      </c>
      <c r="J58" s="13" t="s">
        <v>23</v>
      </c>
      <c r="K58" s="13" t="str">
        <f>"海南热带海洋学院"</f>
        <v>海南热带海洋学院</v>
      </c>
      <c r="L58" s="23">
        <v>81.04</v>
      </c>
      <c r="M58" s="12" t="s">
        <v>24</v>
      </c>
      <c r="N58" s="12" t="s">
        <v>24</v>
      </c>
      <c r="O58" s="12" t="s">
        <v>25</v>
      </c>
      <c r="P58" s="12"/>
    </row>
    <row r="59" s="1" customFormat="1" ht="30" customHeight="1" spans="1:16">
      <c r="A59" s="12">
        <v>56</v>
      </c>
      <c r="B59" s="13" t="str">
        <f>"容子鑫"</f>
        <v>容子鑫</v>
      </c>
      <c r="C59" s="13" t="s">
        <v>124</v>
      </c>
      <c r="D59" s="13" t="s">
        <v>127</v>
      </c>
      <c r="E59" s="13" t="s">
        <v>128</v>
      </c>
      <c r="F59" s="19">
        <v>38028</v>
      </c>
      <c r="G59" s="20" t="s">
        <v>21</v>
      </c>
      <c r="H59" s="13" t="str">
        <f t="shared" si="8"/>
        <v>共青团员</v>
      </c>
      <c r="I59" s="13" t="s">
        <v>22</v>
      </c>
      <c r="J59" s="13" t="s">
        <v>23</v>
      </c>
      <c r="K59" s="13" t="str">
        <f>"海南师范大学"</f>
        <v>海南师范大学</v>
      </c>
      <c r="L59" s="23">
        <v>79.96</v>
      </c>
      <c r="M59" s="12" t="s">
        <v>24</v>
      </c>
      <c r="N59" s="12" t="s">
        <v>24</v>
      </c>
      <c r="O59" s="12" t="s">
        <v>25</v>
      </c>
      <c r="P59" s="12"/>
    </row>
    <row r="60" s="1" customFormat="1" ht="30" customHeight="1" spans="1:16">
      <c r="A60" s="12">
        <v>57</v>
      </c>
      <c r="B60" s="13" t="str">
        <f>"何芳艳"</f>
        <v>何芳艳</v>
      </c>
      <c r="C60" s="13" t="s">
        <v>124</v>
      </c>
      <c r="D60" s="13" t="s">
        <v>129</v>
      </c>
      <c r="E60" s="13" t="s">
        <v>130</v>
      </c>
      <c r="F60" s="19">
        <v>35707</v>
      </c>
      <c r="G60" s="20" t="s">
        <v>21</v>
      </c>
      <c r="H60" s="13" t="str">
        <f t="shared" si="8"/>
        <v>共青团员</v>
      </c>
      <c r="I60" s="13" t="s">
        <v>22</v>
      </c>
      <c r="J60" s="13" t="s">
        <v>23</v>
      </c>
      <c r="K60" s="13" t="str">
        <f>"忻州师范学院"</f>
        <v>忻州师范学院</v>
      </c>
      <c r="L60" s="23">
        <v>87.72</v>
      </c>
      <c r="M60" s="12" t="s">
        <v>24</v>
      </c>
      <c r="N60" s="12" t="s">
        <v>24</v>
      </c>
      <c r="O60" s="12" t="s">
        <v>25</v>
      </c>
      <c r="P60" s="12"/>
    </row>
    <row r="61" s="1" customFormat="1" ht="30" customHeight="1" spans="1:16">
      <c r="A61" s="12">
        <v>58</v>
      </c>
      <c r="B61" s="13" t="str">
        <f>"林莉娇"</f>
        <v>林莉娇</v>
      </c>
      <c r="C61" s="13" t="s">
        <v>124</v>
      </c>
      <c r="D61" s="13" t="s">
        <v>131</v>
      </c>
      <c r="E61" s="13" t="s">
        <v>132</v>
      </c>
      <c r="F61" s="19">
        <v>37285</v>
      </c>
      <c r="G61" s="20" t="s">
        <v>21</v>
      </c>
      <c r="H61" s="13" t="str">
        <f t="shared" si="8"/>
        <v>共青团员</v>
      </c>
      <c r="I61" s="13" t="s">
        <v>22</v>
      </c>
      <c r="J61" s="13" t="s">
        <v>23</v>
      </c>
      <c r="K61" s="13" t="str">
        <f>"韩山师范学院"</f>
        <v>韩山师范学院</v>
      </c>
      <c r="L61" s="23">
        <v>82.08</v>
      </c>
      <c r="M61" s="12" t="s">
        <v>24</v>
      </c>
      <c r="N61" s="12" t="s">
        <v>24</v>
      </c>
      <c r="O61" s="12" t="s">
        <v>25</v>
      </c>
      <c r="P61" s="12"/>
    </row>
    <row r="62" s="1" customFormat="1" ht="30" customHeight="1" spans="1:16">
      <c r="A62" s="12">
        <v>59</v>
      </c>
      <c r="B62" s="13" t="str">
        <f>"翁枫婷"</f>
        <v>翁枫婷</v>
      </c>
      <c r="C62" s="13" t="s">
        <v>124</v>
      </c>
      <c r="D62" s="13" t="s">
        <v>133</v>
      </c>
      <c r="E62" s="13" t="s">
        <v>134</v>
      </c>
      <c r="F62" s="19">
        <v>37500</v>
      </c>
      <c r="G62" s="20" t="s">
        <v>21</v>
      </c>
      <c r="H62" s="13" t="str">
        <f t="shared" si="8"/>
        <v>共青团员</v>
      </c>
      <c r="I62" s="13" t="s">
        <v>22</v>
      </c>
      <c r="J62" s="13" t="s">
        <v>23</v>
      </c>
      <c r="K62" s="13" t="str">
        <f>"西安文理学院"</f>
        <v>西安文理学院</v>
      </c>
      <c r="L62" s="23">
        <v>78.8</v>
      </c>
      <c r="M62" s="12" t="s">
        <v>24</v>
      </c>
      <c r="N62" s="12" t="s">
        <v>24</v>
      </c>
      <c r="O62" s="12" t="s">
        <v>25</v>
      </c>
      <c r="P62" s="12"/>
    </row>
    <row r="63" s="1" customFormat="1" ht="30" customHeight="1" spans="1:16">
      <c r="A63" s="12">
        <v>60</v>
      </c>
      <c r="B63" s="13" t="str">
        <f>"赵玉丹"</f>
        <v>赵玉丹</v>
      </c>
      <c r="C63" s="13" t="s">
        <v>124</v>
      </c>
      <c r="D63" s="13" t="s">
        <v>135</v>
      </c>
      <c r="E63" s="13" t="s">
        <v>136</v>
      </c>
      <c r="F63" s="19">
        <v>35612</v>
      </c>
      <c r="G63" s="20" t="s">
        <v>21</v>
      </c>
      <c r="H63" s="13" t="str">
        <f t="shared" ref="H63:H65" si="9">"群众"</f>
        <v>群众</v>
      </c>
      <c r="I63" s="13" t="s">
        <v>22</v>
      </c>
      <c r="J63" s="13" t="s">
        <v>23</v>
      </c>
      <c r="K63" s="13" t="str">
        <f>"太原师范学院"</f>
        <v>太原师范学院</v>
      </c>
      <c r="L63" s="23">
        <v>84.08</v>
      </c>
      <c r="M63" s="12" t="s">
        <v>24</v>
      </c>
      <c r="N63" s="12" t="s">
        <v>24</v>
      </c>
      <c r="O63" s="12" t="s">
        <v>25</v>
      </c>
      <c r="P63" s="12"/>
    </row>
    <row r="64" s="1" customFormat="1" ht="30" customHeight="1" spans="1:16">
      <c r="A64" s="12">
        <v>61</v>
      </c>
      <c r="B64" s="13" t="str">
        <f>"陈向丽"</f>
        <v>陈向丽</v>
      </c>
      <c r="C64" s="13" t="s">
        <v>124</v>
      </c>
      <c r="D64" s="13" t="s">
        <v>135</v>
      </c>
      <c r="E64" s="13" t="s">
        <v>137</v>
      </c>
      <c r="F64" s="19">
        <v>32092</v>
      </c>
      <c r="G64" s="20" t="s">
        <v>21</v>
      </c>
      <c r="H64" s="13" t="str">
        <f t="shared" si="9"/>
        <v>群众</v>
      </c>
      <c r="I64" s="13" t="s">
        <v>22</v>
      </c>
      <c r="J64" s="13" t="s">
        <v>23</v>
      </c>
      <c r="K64" s="13" t="str">
        <f>"周口师范学院"</f>
        <v>周口师范学院</v>
      </c>
      <c r="L64" s="23">
        <v>87.56</v>
      </c>
      <c r="M64" s="12" t="s">
        <v>24</v>
      </c>
      <c r="N64" s="12" t="s">
        <v>24</v>
      </c>
      <c r="O64" s="12" t="s">
        <v>25</v>
      </c>
      <c r="P64" s="12"/>
    </row>
    <row r="65" s="1" customFormat="1" ht="30" customHeight="1" spans="1:16">
      <c r="A65" s="12">
        <v>62</v>
      </c>
      <c r="B65" s="13" t="str">
        <f>"张晶晶"</f>
        <v>张晶晶</v>
      </c>
      <c r="C65" s="13" t="s">
        <v>124</v>
      </c>
      <c r="D65" s="13" t="s">
        <v>138</v>
      </c>
      <c r="E65" s="13" t="s">
        <v>139</v>
      </c>
      <c r="F65" s="19">
        <v>33648</v>
      </c>
      <c r="G65" s="20" t="s">
        <v>21</v>
      </c>
      <c r="H65" s="13" t="str">
        <f t="shared" si="9"/>
        <v>群众</v>
      </c>
      <c r="I65" s="13" t="s">
        <v>22</v>
      </c>
      <c r="J65" s="13" t="s">
        <v>23</v>
      </c>
      <c r="K65" s="13" t="str">
        <f>"信阳师范学院"</f>
        <v>信阳师范学院</v>
      </c>
      <c r="L65" s="23">
        <v>84.08</v>
      </c>
      <c r="M65" s="12" t="s">
        <v>24</v>
      </c>
      <c r="N65" s="12" t="s">
        <v>24</v>
      </c>
      <c r="O65" s="12" t="s">
        <v>25</v>
      </c>
      <c r="P65" s="12"/>
    </row>
    <row r="66" s="1" customFormat="1" ht="30" customHeight="1" spans="1:16">
      <c r="A66" s="12">
        <v>63</v>
      </c>
      <c r="B66" s="13" t="str">
        <f>"羊冬盖"</f>
        <v>羊冬盖</v>
      </c>
      <c r="C66" s="13" t="s">
        <v>124</v>
      </c>
      <c r="D66" s="13" t="s">
        <v>138</v>
      </c>
      <c r="E66" s="13" t="s">
        <v>140</v>
      </c>
      <c r="F66" s="19">
        <v>34956</v>
      </c>
      <c r="G66" s="20" t="s">
        <v>21</v>
      </c>
      <c r="H66" s="13" t="s">
        <v>113</v>
      </c>
      <c r="I66" s="13" t="s">
        <v>22</v>
      </c>
      <c r="J66" s="13" t="s">
        <v>23</v>
      </c>
      <c r="K66" s="13" t="s">
        <v>141</v>
      </c>
      <c r="L66" s="23">
        <v>79.4</v>
      </c>
      <c r="M66" s="12" t="s">
        <v>24</v>
      </c>
      <c r="N66" s="12" t="s">
        <v>24</v>
      </c>
      <c r="O66" s="12" t="s">
        <v>25</v>
      </c>
      <c r="P66" s="12"/>
    </row>
    <row r="67" s="1" customFormat="1" ht="30" customHeight="1" spans="1:16">
      <c r="A67" s="12">
        <v>64</v>
      </c>
      <c r="B67" s="13" t="str">
        <f>"周泓楠"</f>
        <v>周泓楠</v>
      </c>
      <c r="C67" s="13" t="s">
        <v>142</v>
      </c>
      <c r="D67" s="13" t="s">
        <v>143</v>
      </c>
      <c r="E67" s="13" t="s">
        <v>144</v>
      </c>
      <c r="F67" s="19">
        <v>37876</v>
      </c>
      <c r="G67" s="20" t="s">
        <v>30</v>
      </c>
      <c r="H67" s="13" t="str">
        <f t="shared" ref="H67:H71" si="10">"群众"</f>
        <v>群众</v>
      </c>
      <c r="I67" s="13" t="s">
        <v>22</v>
      </c>
      <c r="J67" s="13" t="s">
        <v>23</v>
      </c>
      <c r="K67" s="13" t="str">
        <f>"湖北师范大学"</f>
        <v>湖北师范大学</v>
      </c>
      <c r="L67" s="23">
        <v>81.12</v>
      </c>
      <c r="M67" s="12" t="s">
        <v>24</v>
      </c>
      <c r="N67" s="12" t="s">
        <v>24</v>
      </c>
      <c r="O67" s="12" t="s">
        <v>25</v>
      </c>
      <c r="P67" s="12"/>
    </row>
    <row r="68" s="1" customFormat="1" ht="30" customHeight="1" spans="1:16">
      <c r="A68" s="12">
        <v>65</v>
      </c>
      <c r="B68" s="13" t="str">
        <f>"卢明杰"</f>
        <v>卢明杰</v>
      </c>
      <c r="C68" s="13" t="s">
        <v>142</v>
      </c>
      <c r="D68" s="13" t="s">
        <v>143</v>
      </c>
      <c r="E68" s="13" t="s">
        <v>145</v>
      </c>
      <c r="F68" s="19">
        <v>37501</v>
      </c>
      <c r="G68" s="20" t="s">
        <v>30</v>
      </c>
      <c r="H68" s="13" t="str">
        <f t="shared" si="10"/>
        <v>群众</v>
      </c>
      <c r="I68" s="13" t="s">
        <v>22</v>
      </c>
      <c r="J68" s="13" t="s">
        <v>23</v>
      </c>
      <c r="K68" s="13" t="str">
        <f>"海南师范大学"</f>
        <v>海南师范大学</v>
      </c>
      <c r="L68" s="23">
        <v>81.12</v>
      </c>
      <c r="M68" s="12" t="s">
        <v>24</v>
      </c>
      <c r="N68" s="12" t="s">
        <v>24</v>
      </c>
      <c r="O68" s="12" t="s">
        <v>25</v>
      </c>
      <c r="P68" s="12"/>
    </row>
    <row r="69" s="1" customFormat="1" ht="30" customHeight="1" spans="1:16">
      <c r="A69" s="12">
        <v>66</v>
      </c>
      <c r="B69" s="13" t="s">
        <v>146</v>
      </c>
      <c r="C69" s="13" t="s">
        <v>142</v>
      </c>
      <c r="D69" s="13" t="s">
        <v>143</v>
      </c>
      <c r="E69" s="13" t="s">
        <v>147</v>
      </c>
      <c r="F69" s="19">
        <v>37203</v>
      </c>
      <c r="G69" s="20" t="s">
        <v>21</v>
      </c>
      <c r="H69" s="13" t="s">
        <v>148</v>
      </c>
      <c r="I69" s="13" t="s">
        <v>22</v>
      </c>
      <c r="J69" s="13" t="s">
        <v>23</v>
      </c>
      <c r="K69" s="13" t="str">
        <f>"琼台师范学院"</f>
        <v>琼台师范学院</v>
      </c>
      <c r="L69" s="23">
        <v>77.92</v>
      </c>
      <c r="M69" s="12" t="s">
        <v>24</v>
      </c>
      <c r="N69" s="12" t="s">
        <v>24</v>
      </c>
      <c r="O69" s="12" t="s">
        <v>25</v>
      </c>
      <c r="P69" s="12"/>
    </row>
    <row r="70" s="1" customFormat="1" ht="30" customHeight="1" spans="1:16">
      <c r="A70" s="12">
        <v>67</v>
      </c>
      <c r="B70" s="13" t="str">
        <f>"翁玲"</f>
        <v>翁玲</v>
      </c>
      <c r="C70" s="13" t="s">
        <v>142</v>
      </c>
      <c r="D70" s="13" t="s">
        <v>149</v>
      </c>
      <c r="E70" s="13" t="s">
        <v>150</v>
      </c>
      <c r="F70" s="19">
        <v>38193</v>
      </c>
      <c r="G70" s="20" t="s">
        <v>21</v>
      </c>
      <c r="H70" s="13" t="str">
        <f>"共青团员"</f>
        <v>共青团员</v>
      </c>
      <c r="I70" s="13" t="s">
        <v>22</v>
      </c>
      <c r="J70" s="13" t="s">
        <v>23</v>
      </c>
      <c r="K70" s="13" t="str">
        <f>"海南师范大学"</f>
        <v>海南师范大学</v>
      </c>
      <c r="L70" s="23">
        <v>77.2</v>
      </c>
      <c r="M70" s="12" t="s">
        <v>24</v>
      </c>
      <c r="N70" s="12" t="s">
        <v>24</v>
      </c>
      <c r="O70" s="12" t="s">
        <v>25</v>
      </c>
      <c r="P70" s="12"/>
    </row>
    <row r="71" s="1" customFormat="1" ht="30" customHeight="1" spans="1:16">
      <c r="A71" s="12">
        <v>68</v>
      </c>
      <c r="B71" s="13" t="str">
        <f>"郑晓莹"</f>
        <v>郑晓莹</v>
      </c>
      <c r="C71" s="13" t="s">
        <v>142</v>
      </c>
      <c r="D71" s="13" t="s">
        <v>149</v>
      </c>
      <c r="E71" s="13" t="s">
        <v>151</v>
      </c>
      <c r="F71" s="19">
        <v>33887</v>
      </c>
      <c r="G71" s="20" t="s">
        <v>21</v>
      </c>
      <c r="H71" s="13" t="str">
        <f t="shared" si="10"/>
        <v>群众</v>
      </c>
      <c r="I71" s="13" t="s">
        <v>22</v>
      </c>
      <c r="J71" s="13" t="s">
        <v>23</v>
      </c>
      <c r="K71" s="13" t="str">
        <f>"湖南师范大学"</f>
        <v>湖南师范大学</v>
      </c>
      <c r="L71" s="23">
        <v>73.96</v>
      </c>
      <c r="M71" s="12" t="s">
        <v>24</v>
      </c>
      <c r="N71" s="12" t="s">
        <v>24</v>
      </c>
      <c r="O71" s="12" t="s">
        <v>25</v>
      </c>
      <c r="P71" s="12"/>
    </row>
    <row r="72" s="1" customFormat="1" ht="30" customHeight="1" spans="1:16">
      <c r="A72" s="12">
        <v>69</v>
      </c>
      <c r="B72" s="13" t="str">
        <f>"周宝怡"</f>
        <v>周宝怡</v>
      </c>
      <c r="C72" s="13" t="s">
        <v>142</v>
      </c>
      <c r="D72" s="13" t="s">
        <v>149</v>
      </c>
      <c r="E72" s="13" t="s">
        <v>152</v>
      </c>
      <c r="F72" s="19">
        <v>37412</v>
      </c>
      <c r="G72" s="20" t="s">
        <v>21</v>
      </c>
      <c r="H72" s="13" t="str">
        <f>"共青团员"</f>
        <v>共青团员</v>
      </c>
      <c r="I72" s="13" t="s">
        <v>58</v>
      </c>
      <c r="J72" s="13" t="s">
        <v>59</v>
      </c>
      <c r="K72" s="13" t="str">
        <f>"云南师范大学"</f>
        <v>云南师范大学</v>
      </c>
      <c r="L72" s="23">
        <v>73.12</v>
      </c>
      <c r="M72" s="12" t="s">
        <v>24</v>
      </c>
      <c r="N72" s="12" t="s">
        <v>24</v>
      </c>
      <c r="O72" s="12" t="s">
        <v>25</v>
      </c>
      <c r="P72" s="12"/>
    </row>
    <row r="73" s="1" customFormat="1" ht="30" customHeight="1" spans="1:16">
      <c r="A73" s="12">
        <v>70</v>
      </c>
      <c r="B73" s="13" t="str">
        <f>"杨梅恩"</f>
        <v>杨梅恩</v>
      </c>
      <c r="C73" s="13" t="s">
        <v>142</v>
      </c>
      <c r="D73" s="13" t="s">
        <v>149</v>
      </c>
      <c r="E73" s="13" t="s">
        <v>153</v>
      </c>
      <c r="F73" s="19">
        <v>33970</v>
      </c>
      <c r="G73" s="20" t="s">
        <v>21</v>
      </c>
      <c r="H73" s="13" t="str">
        <f>"群众"</f>
        <v>群众</v>
      </c>
      <c r="I73" s="13" t="s">
        <v>22</v>
      </c>
      <c r="J73" s="13" t="s">
        <v>23</v>
      </c>
      <c r="K73" s="13" t="str">
        <f>"海南热带海洋学院"</f>
        <v>海南热带海洋学院</v>
      </c>
      <c r="L73" s="23">
        <v>71.44</v>
      </c>
      <c r="M73" s="12" t="s">
        <v>24</v>
      </c>
      <c r="N73" s="12" t="s">
        <v>24</v>
      </c>
      <c r="O73" s="12" t="s">
        <v>25</v>
      </c>
      <c r="P73" s="12"/>
    </row>
    <row r="74" s="1" customFormat="1" ht="30" customHeight="1" spans="1:16">
      <c r="A74" s="12">
        <v>71</v>
      </c>
      <c r="B74" s="13" t="str">
        <f>"何心怡"</f>
        <v>何心怡</v>
      </c>
      <c r="C74" s="13" t="s">
        <v>142</v>
      </c>
      <c r="D74" s="13" t="s">
        <v>149</v>
      </c>
      <c r="E74" s="13" t="s">
        <v>154</v>
      </c>
      <c r="F74" s="19">
        <v>37300</v>
      </c>
      <c r="G74" s="20" t="s">
        <v>21</v>
      </c>
      <c r="H74" s="13" t="str">
        <f>"共青团员"</f>
        <v>共青团员</v>
      </c>
      <c r="I74" s="13" t="s">
        <v>22</v>
      </c>
      <c r="J74" s="13" t="s">
        <v>23</v>
      </c>
      <c r="K74" s="13" t="str">
        <f>"喀什大学"</f>
        <v>喀什大学</v>
      </c>
      <c r="L74" s="23">
        <v>71.2</v>
      </c>
      <c r="M74" s="12" t="s">
        <v>24</v>
      </c>
      <c r="N74" s="12" t="s">
        <v>24</v>
      </c>
      <c r="O74" s="12" t="s">
        <v>25</v>
      </c>
      <c r="P74" s="12"/>
    </row>
  </sheetData>
  <sheetProtection formatCells="0" insertHyperlinks="0" autoFilter="0"/>
  <mergeCells count="2">
    <mergeCell ref="A1:B1"/>
    <mergeCell ref="A2:P2"/>
  </mergeCells>
  <conditionalFormatting sqref="B3 B75:B1048576">
    <cfRule type="duplicateValues" dxfId="0" priority="1"/>
    <cfRule type="duplicateValues" dxfId="0" priority="2"/>
  </conditionalFormatting>
  <pageMargins left="0.75" right="0.75" top="1" bottom="1" header="0.5" footer="0.5"/>
  <headerFooter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woProps xmlns="https://web.wps.cn/et/2018/main" xmlns:s="http://schemas.openxmlformats.org/spreadsheetml/2006/main">
  <woSheetsProps>
    <woSheetProps sheetStid="3" interlineOnOff="0" interlineColor="0" isDbSheet="0" isDashBoardSheet="0" isDbDashBoardSheet="0" isFlexPaperSheet="0">
      <cellprotection/>
      <appEtDbRelations/>
    </woSheetProps>
  </woSheetsProps>
  <woBookProps>
    <bookSettings fileId="" isFilterShared="1" coreConquerUserId="" isAutoUpdatePaused="0" filterType="conn" isMergeTasksAutoUpdate="0" isInserPicAsAttachment="0"/>
  </woBookProps>
</woProps>
</file>

<file path=customXml/item2.xml><?xml version="1.0" encoding="utf-8"?>
<pixelators xmlns="https://web.wps.cn/et/2018/main" xmlns:s="http://schemas.openxmlformats.org/spreadsheetml/2006/main">
  <pixelatorList sheetStid="3"/>
  <pixelatorList sheetStid="4"/>
</pixelators>
</file>

<file path=customXml/itemProps1.xml><?xml version="1.0" encoding="utf-8"?>
<ds:datastoreItem xmlns:ds="http://schemas.openxmlformats.org/officeDocument/2006/customXml" ds:itemID="{06C82605-B75B-4693-9329-32AAD527C692}">
  <ds:schemaRefs>
    <ds:schemaRef ds:uri="https://web.wps.cn/et/2018/main"/>
    <ds:schemaRef ds:uri="http://schemas.openxmlformats.org/spreadsheetml/2006/main"/>
  </ds:schemaRefs>
</ds:datastoreItem>
</file>

<file path=customXml/itemProps2.xml><?xml version="1.0" encoding="utf-8"?>
<ds:datastoreItem xmlns:ds="http://schemas.openxmlformats.org/officeDocument/2006/customXml" ds:itemID="{224D003E-15C9-4FFE-AB16-9E66474EAE4E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WPS Office WWO_wpscloud_20240305111834-b523323eda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Sheet2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专属</cp:lastModifiedBy>
  <dcterms:created xsi:type="dcterms:W3CDTF">2025-08-20T17:06:00Z</dcterms:created>
  <dcterms:modified xsi:type="dcterms:W3CDTF">2026-08-11T20:17:00Z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5F66DFED9C964F6DAA17073BF1AA44D8_13</vt:lpwstr>
  </property>
  <property fmtid="{D5CDD505-2E9C-101B-9397-08002B2CF9AE}" pid="3" name="KSOProductBuildVer">
    <vt:lpwstr>2052-0.0.0.0</vt:lpwstr>
  </property>
  <property fmtid="{D5CDD505-2E9C-101B-9397-08002B2CF9AE}" pid="4" name="KSOReadingLayout">
    <vt:bool>true</vt:bool>
  </property>
  <property fmtid="{D5CDD505-2E9C-101B-9397-08002B2CF9AE}" pid="5" name="CalculationRule">
    <vt:i4>0</vt:i4>
  </property>
</Properties>
</file>